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Professionnel\2. SP\E5 - 1-1 SP Hôtel Beaurivage\"/>
    </mc:Choice>
  </mc:AlternateContent>
  <xr:revisionPtr revIDLastSave="0" documentId="13_ncr:1_{E8A18982-7BE5-4AA9-A1F1-3243B9678A2F}" xr6:coauthVersionLast="47" xr6:coauthVersionMax="47" xr10:uidLastSave="{00000000-0000-0000-0000-000000000000}"/>
  <bookViews>
    <workbookView xWindow="-120" yWindow="-120" windowWidth="29040" windowHeight="15840" firstSheet="1" activeTab="9" xr2:uid="{00000000-000D-0000-FFFF-FFFF00000000}"/>
  </bookViews>
  <sheets>
    <sheet name="équilibre balance" sheetId="11" r:id="rId1"/>
    <sheet name="Modifications" sheetId="14" r:id="rId2"/>
    <sheet name="Balance" sheetId="1" r:id="rId3"/>
    <sheet name="Résultat" sheetId="4" r:id="rId4"/>
    <sheet name="Annexe 1" sheetId="7" r:id="rId5"/>
    <sheet name="Annexe 2" sheetId="13" r:id="rId6"/>
    <sheet name="Mission 1" sheetId="6" r:id="rId7"/>
    <sheet name="Mission 2" sheetId="12" r:id="rId8"/>
    <sheet name="Mission 3" sheetId="10" r:id="rId9"/>
    <sheet name="mission 4" sheetId="15" r:id="rId10"/>
    <sheet name="Mission 1 que restaurant" sheetId="9" r:id="rId11"/>
  </sheets>
  <definedNames>
    <definedName name="h.gjdgxs" localSheetId="4">'Annexe 1'!$A$34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5" l="1"/>
  <c r="F20" i="15" l="1"/>
  <c r="F18" i="15"/>
  <c r="F17" i="15"/>
  <c r="F16" i="15"/>
  <c r="F15" i="15"/>
  <c r="C23" i="6" l="1"/>
  <c r="B23" i="6"/>
  <c r="E17" i="15" l="1"/>
  <c r="C11" i="15"/>
  <c r="C31" i="15"/>
  <c r="C30" i="15"/>
  <c r="E4" i="15"/>
  <c r="C28" i="15"/>
  <c r="C5" i="6" l="1"/>
  <c r="E3" i="15"/>
  <c r="E24" i="15"/>
  <c r="D31" i="15" s="1"/>
  <c r="E18" i="15"/>
  <c r="E16" i="15"/>
  <c r="E15" i="15"/>
  <c r="E5" i="15"/>
  <c r="E19" i="15" l="1"/>
  <c r="E7" i="15"/>
  <c r="D28" i="15" s="1"/>
  <c r="E20" i="15"/>
  <c r="C2" i="12"/>
  <c r="D2" i="12"/>
  <c r="E2" i="12"/>
  <c r="F2" i="12"/>
  <c r="B2" i="12"/>
  <c r="I11" i="12"/>
  <c r="G3" i="13"/>
  <c r="E63" i="1"/>
  <c r="F63" i="1"/>
  <c r="F46" i="1"/>
  <c r="F47" i="1"/>
  <c r="F48" i="1"/>
  <c r="F49" i="1"/>
  <c r="F50" i="1"/>
  <c r="F51" i="1"/>
  <c r="F52" i="1"/>
  <c r="F53" i="1"/>
  <c r="F54" i="1"/>
  <c r="F55" i="1"/>
  <c r="F56" i="1"/>
  <c r="F45" i="1"/>
  <c r="E44" i="1"/>
  <c r="E43" i="1"/>
  <c r="E42" i="1"/>
  <c r="E41" i="1"/>
  <c r="E40" i="1"/>
  <c r="E39" i="1"/>
  <c r="E38" i="1"/>
  <c r="E25" i="15" l="1"/>
  <c r="D30" i="15"/>
  <c r="E30" i="15" s="1"/>
  <c r="C44" i="1"/>
  <c r="E43" i="11"/>
  <c r="E45" i="11"/>
  <c r="E43" i="6" l="1"/>
  <c r="C7" i="6"/>
  <c r="B6" i="12"/>
  <c r="B33" i="6" l="1"/>
  <c r="B13" i="12" l="1"/>
  <c r="C13" i="12"/>
  <c r="C6" i="12"/>
  <c r="D6" i="12"/>
  <c r="E6" i="12"/>
  <c r="F6" i="12"/>
  <c r="C5" i="12"/>
  <c r="D5" i="12"/>
  <c r="E5" i="12"/>
  <c r="F5" i="12"/>
  <c r="B5" i="12"/>
  <c r="C4" i="12"/>
  <c r="D4" i="12"/>
  <c r="E4" i="12"/>
  <c r="F4" i="12"/>
  <c r="B4" i="12"/>
  <c r="C3" i="12"/>
  <c r="D3" i="12"/>
  <c r="E3" i="12"/>
  <c r="F3" i="12"/>
  <c r="B3" i="12"/>
  <c r="E64" i="11"/>
  <c r="F39" i="11"/>
  <c r="F38" i="11"/>
  <c r="F37" i="11"/>
  <c r="F36" i="11"/>
  <c r="F31" i="11"/>
  <c r="F30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B2" i="11"/>
  <c r="B63" i="11" s="1"/>
  <c r="A2" i="11"/>
  <c r="A37" i="11" s="1"/>
  <c r="D6" i="10"/>
  <c r="F5" i="10"/>
  <c r="B11" i="10" s="1"/>
  <c r="B32" i="9"/>
  <c r="B31" i="9"/>
  <c r="B30" i="9"/>
  <c r="B29" i="9"/>
  <c r="B28" i="9"/>
  <c r="B26" i="9"/>
  <c r="B25" i="9"/>
  <c r="B19" i="9"/>
  <c r="B18" i="9"/>
  <c r="B17" i="9"/>
  <c r="B16" i="9"/>
  <c r="B15" i="9"/>
  <c r="B12" i="9"/>
  <c r="B7" i="9"/>
  <c r="B5" i="9"/>
  <c r="D44" i="6"/>
  <c r="B43" i="9" s="1"/>
  <c r="D43" i="6"/>
  <c r="B42" i="9" s="1"/>
  <c r="D42" i="6"/>
  <c r="D40" i="6"/>
  <c r="B39" i="9" s="1"/>
  <c r="D41" i="6"/>
  <c r="B40" i="9" s="1"/>
  <c r="D39" i="6"/>
  <c r="B38" i="9" s="1"/>
  <c r="D38" i="6"/>
  <c r="E42" i="6"/>
  <c r="C33" i="6"/>
  <c r="C32" i="6"/>
  <c r="B32" i="6"/>
  <c r="C31" i="6"/>
  <c r="B31" i="6"/>
  <c r="E41" i="6"/>
  <c r="E44" i="6"/>
  <c r="E40" i="6"/>
  <c r="E39" i="6"/>
  <c r="E38" i="6"/>
  <c r="C30" i="6"/>
  <c r="B30" i="6"/>
  <c r="C29" i="6"/>
  <c r="B29" i="6"/>
  <c r="E33" i="6"/>
  <c r="E29" i="6"/>
  <c r="E28" i="6"/>
  <c r="E27" i="6"/>
  <c r="E26" i="6"/>
  <c r="E19" i="6"/>
  <c r="E18" i="6"/>
  <c r="E17" i="6"/>
  <c r="E16" i="6"/>
  <c r="E15" i="6"/>
  <c r="E9" i="6"/>
  <c r="E8" i="6"/>
  <c r="E7" i="6"/>
  <c r="E6" i="6"/>
  <c r="E5" i="6"/>
  <c r="E4" i="6"/>
  <c r="B28" i="6"/>
  <c r="D28" i="6" s="1"/>
  <c r="C27" i="6"/>
  <c r="B27" i="6"/>
  <c r="C26" i="6"/>
  <c r="B26" i="6"/>
  <c r="C19" i="6"/>
  <c r="B19" i="6"/>
  <c r="C18" i="6"/>
  <c r="B18" i="6"/>
  <c r="C17" i="6"/>
  <c r="B17" i="6"/>
  <c r="B16" i="6"/>
  <c r="C16" i="6"/>
  <c r="B15" i="6"/>
  <c r="C15" i="6"/>
  <c r="C12" i="6"/>
  <c r="B11" i="6"/>
  <c r="B9" i="6"/>
  <c r="D9" i="6" s="1"/>
  <c r="B8" i="6"/>
  <c r="D7" i="6"/>
  <c r="B6" i="6"/>
  <c r="D6" i="6" s="1"/>
  <c r="B5" i="6"/>
  <c r="B4" i="6"/>
  <c r="D4" i="6" s="1"/>
  <c r="F4" i="6" s="1"/>
  <c r="C27" i="4"/>
  <c r="D27" i="4"/>
  <c r="D22" i="1"/>
  <c r="D30" i="1"/>
  <c r="D29" i="1"/>
  <c r="D23" i="1"/>
  <c r="D20" i="1"/>
  <c r="D19" i="1"/>
  <c r="D18" i="1"/>
  <c r="D17" i="1"/>
  <c r="D16" i="1"/>
  <c r="D15" i="1"/>
  <c r="D14" i="1"/>
  <c r="D5" i="1"/>
  <c r="B10" i="10" l="1"/>
  <c r="D10" i="10" s="1"/>
  <c r="E10" i="10"/>
  <c r="G10" i="10" s="1"/>
  <c r="E11" i="10"/>
  <c r="F39" i="6"/>
  <c r="F6" i="6"/>
  <c r="D8" i="6"/>
  <c r="F8" i="6" s="1"/>
  <c r="D31" i="6"/>
  <c r="F9" i="6"/>
  <c r="D30" i="6"/>
  <c r="D32" i="6"/>
  <c r="F43" i="6" s="1"/>
  <c r="D7" i="12"/>
  <c r="D11" i="12" s="1"/>
  <c r="D28" i="4"/>
  <c r="E46" i="6" s="1"/>
  <c r="D45" i="6"/>
  <c r="E10" i="6"/>
  <c r="F42" i="6"/>
  <c r="B37" i="9"/>
  <c r="B41" i="9"/>
  <c r="B7" i="11"/>
  <c r="B15" i="11"/>
  <c r="B23" i="11"/>
  <c r="B37" i="11"/>
  <c r="F7" i="6"/>
  <c r="D29" i="6"/>
  <c r="B10" i="9"/>
  <c r="B13" i="9" s="1"/>
  <c r="F64" i="11"/>
  <c r="B11" i="11"/>
  <c r="B19" i="11"/>
  <c r="B27" i="11"/>
  <c r="B7" i="12"/>
  <c r="B11" i="12" s="1"/>
  <c r="F7" i="12"/>
  <c r="F11" i="12" s="1"/>
  <c r="F13" i="12"/>
  <c r="E7" i="12"/>
  <c r="E11" i="12" s="1"/>
  <c r="C7" i="12"/>
  <c r="C11" i="12" s="1"/>
  <c r="D13" i="12"/>
  <c r="E13" i="12"/>
  <c r="A6" i="11"/>
  <c r="A14" i="11"/>
  <c r="A22" i="11"/>
  <c r="A26" i="11"/>
  <c r="A29" i="11"/>
  <c r="A40" i="11"/>
  <c r="A42" i="11"/>
  <c r="A44" i="11"/>
  <c r="A46" i="11"/>
  <c r="A48" i="11"/>
  <c r="A50" i="11"/>
  <c r="A52" i="11"/>
  <c r="A54" i="11"/>
  <c r="A56" i="11"/>
  <c r="A58" i="11"/>
  <c r="A60" i="11"/>
  <c r="A62" i="11"/>
  <c r="B6" i="11"/>
  <c r="A9" i="11"/>
  <c r="B14" i="11"/>
  <c r="A17" i="11"/>
  <c r="A21" i="11"/>
  <c r="B26" i="11"/>
  <c r="B29" i="11"/>
  <c r="B32" i="11"/>
  <c r="A3" i="11"/>
  <c r="A5" i="11"/>
  <c r="A8" i="11"/>
  <c r="B9" i="11"/>
  <c r="A12" i="11"/>
  <c r="B13" i="11"/>
  <c r="A16" i="11"/>
  <c r="B17" i="11"/>
  <c r="A20" i="11"/>
  <c r="B21" i="11"/>
  <c r="A24" i="11"/>
  <c r="B25" i="11"/>
  <c r="A28" i="11"/>
  <c r="A30" i="11"/>
  <c r="B31" i="11"/>
  <c r="A33" i="11"/>
  <c r="A35" i="11"/>
  <c r="A38" i="11"/>
  <c r="B39" i="11"/>
  <c r="A41" i="11"/>
  <c r="A43" i="11"/>
  <c r="A45" i="11"/>
  <c r="A47" i="11"/>
  <c r="A49" i="11"/>
  <c r="A51" i="11"/>
  <c r="A53" i="11"/>
  <c r="A55" i="11"/>
  <c r="A57" i="11"/>
  <c r="A59" i="11"/>
  <c r="A61" i="11"/>
  <c r="A63" i="11"/>
  <c r="A4" i="11"/>
  <c r="A10" i="11"/>
  <c r="A18" i="11"/>
  <c r="A32" i="11"/>
  <c r="A34" i="11"/>
  <c r="A36" i="11"/>
  <c r="B4" i="11"/>
  <c r="B10" i="11"/>
  <c r="A13" i="11"/>
  <c r="B18" i="11"/>
  <c r="B22" i="11"/>
  <c r="A25" i="11"/>
  <c r="A31" i="11"/>
  <c r="B34" i="11"/>
  <c r="B36" i="11"/>
  <c r="A39" i="11"/>
  <c r="B40" i="11"/>
  <c r="B42" i="11"/>
  <c r="B44" i="11"/>
  <c r="B46" i="11"/>
  <c r="B48" i="11"/>
  <c r="B50" i="11"/>
  <c r="B52" i="11"/>
  <c r="B54" i="11"/>
  <c r="B56" i="11"/>
  <c r="B58" i="11"/>
  <c r="B60" i="11"/>
  <c r="B62" i="11"/>
  <c r="B3" i="11"/>
  <c r="B5" i="11"/>
  <c r="A7" i="11"/>
  <c r="B8" i="11"/>
  <c r="A11" i="11"/>
  <c r="B12" i="11"/>
  <c r="A15" i="11"/>
  <c r="B16" i="11"/>
  <c r="A19" i="11"/>
  <c r="B20" i="11"/>
  <c r="A23" i="11"/>
  <c r="B24" i="11"/>
  <c r="A27" i="11"/>
  <c r="B28" i="11"/>
  <c r="B30" i="11"/>
  <c r="B33" i="11"/>
  <c r="B35" i="11"/>
  <c r="B38" i="11"/>
  <c r="B41" i="11"/>
  <c r="B43" i="11"/>
  <c r="B45" i="11"/>
  <c r="B47" i="11"/>
  <c r="B49" i="11"/>
  <c r="B51" i="11"/>
  <c r="B53" i="11"/>
  <c r="B55" i="11"/>
  <c r="B57" i="11"/>
  <c r="B59" i="11"/>
  <c r="B61" i="11"/>
  <c r="B20" i="9"/>
  <c r="B33" i="9"/>
  <c r="F44" i="6"/>
  <c r="F41" i="6"/>
  <c r="F40" i="6"/>
  <c r="F38" i="6"/>
  <c r="D33" i="6"/>
  <c r="F33" i="6" s="1"/>
  <c r="F28" i="6"/>
  <c r="B20" i="6"/>
  <c r="C34" i="6"/>
  <c r="F29" i="6"/>
  <c r="D27" i="6"/>
  <c r="F27" i="6" s="1"/>
  <c r="D26" i="6"/>
  <c r="F26" i="6" s="1"/>
  <c r="D19" i="6"/>
  <c r="F19" i="6" s="1"/>
  <c r="D18" i="6"/>
  <c r="F18" i="6" s="1"/>
  <c r="D17" i="6"/>
  <c r="F17" i="6" s="1"/>
  <c r="D16" i="6"/>
  <c r="F16" i="6" s="1"/>
  <c r="B10" i="6"/>
  <c r="B34" i="6"/>
  <c r="D15" i="6"/>
  <c r="F15" i="6" s="1"/>
  <c r="D5" i="6"/>
  <c r="C10" i="6"/>
  <c r="C20" i="6"/>
  <c r="D63" i="1"/>
  <c r="C63" i="1"/>
  <c r="H10" i="10" l="1"/>
  <c r="E14" i="12"/>
  <c r="C21" i="6"/>
  <c r="F11" i="10" s="1"/>
  <c r="G11" i="10" s="1"/>
  <c r="B21" i="6"/>
  <c r="C12" i="12"/>
  <c r="C14" i="12"/>
  <c r="B12" i="12"/>
  <c r="B14" i="12"/>
  <c r="F12" i="12"/>
  <c r="F14" i="12"/>
  <c r="D12" i="12"/>
  <c r="D14" i="12"/>
  <c r="E12" i="12"/>
  <c r="B44" i="9"/>
  <c r="B22" i="9"/>
  <c r="B23" i="9" s="1"/>
  <c r="C13" i="6"/>
  <c r="B21" i="9"/>
  <c r="D10" i="6"/>
  <c r="F10" i="6" s="1"/>
  <c r="F5" i="6"/>
  <c r="D34" i="6"/>
  <c r="B13" i="6"/>
  <c r="E9" i="15" s="1"/>
  <c r="B22" i="6"/>
  <c r="B24" i="6" s="1"/>
  <c r="B47" i="6" s="1"/>
  <c r="D20" i="6"/>
  <c r="C22" i="6"/>
  <c r="C24" i="6" s="1"/>
  <c r="C47" i="6" s="1"/>
  <c r="E10" i="15" l="1"/>
  <c r="D29" i="15"/>
  <c r="E28" i="15" s="1"/>
  <c r="E32" i="15" s="1"/>
  <c r="G12" i="10"/>
  <c r="C11" i="10"/>
  <c r="B34" i="9"/>
  <c r="B45" i="9" s="1"/>
  <c r="C48" i="6"/>
  <c r="C49" i="6"/>
  <c r="C50" i="6" s="1"/>
  <c r="B35" i="6"/>
  <c r="B36" i="6" s="1"/>
  <c r="B48" i="6"/>
  <c r="B49" i="6"/>
  <c r="B50" i="6" s="1"/>
  <c r="C35" i="6"/>
  <c r="C36" i="6" s="1"/>
  <c r="D22" i="6"/>
  <c r="D35" i="6" s="1"/>
  <c r="D46" i="6" s="1"/>
  <c r="F46" i="6" s="1"/>
  <c r="D11" i="10" l="1"/>
  <c r="B35" i="9"/>
  <c r="D36" i="6"/>
  <c r="D24" i="6"/>
  <c r="D12" i="10" l="1"/>
  <c r="H12" i="10" s="1"/>
  <c r="A14" i="10" s="1"/>
  <c r="H11" i="10"/>
</calcChain>
</file>

<file path=xl/sharedStrings.xml><?xml version="1.0" encoding="utf-8"?>
<sst xmlns="http://schemas.openxmlformats.org/spreadsheetml/2006/main" count="427" uniqueCount="270">
  <si>
    <t>CAPITAL</t>
  </si>
  <si>
    <t>RESERVE LEGALE</t>
  </si>
  <si>
    <t>AUTRES RESERVES</t>
  </si>
  <si>
    <t>EMPRUNT CRCA 599 K€</t>
  </si>
  <si>
    <t>FONDS COMMERCIAL</t>
  </si>
  <si>
    <t>LOGICIELS</t>
  </si>
  <si>
    <t>MATERIEL INDUSTRIEL</t>
  </si>
  <si>
    <t>INST. GENERALES AMENAGT DIVERS</t>
  </si>
  <si>
    <t>AMENAGT MISE EN CONFORM. SECURITE</t>
  </si>
  <si>
    <t>MATERIEL DE BUREAU ET INFO</t>
  </si>
  <si>
    <t>MOBILIER</t>
  </si>
  <si>
    <t>ACOMPTES SUR IMMOBILISATIONS</t>
  </si>
  <si>
    <t>AMT LOGICIELS</t>
  </si>
  <si>
    <t>AMT MATERIEL INDUSTRIEL</t>
  </si>
  <si>
    <t>AMT INST AGENCT DIVERS</t>
  </si>
  <si>
    <t>AMT AMENAGT MISE EN CONFORM. SECU</t>
  </si>
  <si>
    <t>AMT MATERIEL BUREAU ET INFO</t>
  </si>
  <si>
    <t>AMT MOBILIER</t>
  </si>
  <si>
    <t>DEPRECIATION FOND COMMERCIAL</t>
  </si>
  <si>
    <t>STOCKS AUTRES APPROV.</t>
  </si>
  <si>
    <t>FOURNISSEURS</t>
  </si>
  <si>
    <t>FOURNISSEURS IMMOBILISATIONS</t>
  </si>
  <si>
    <t>CLIENTS</t>
  </si>
  <si>
    <t>AVANCES REÇUES SUR COMMANDES</t>
  </si>
  <si>
    <t>DETTES POUR EMBALLAGES CONSIGNÉS</t>
  </si>
  <si>
    <t>REMUNERATIONS DUES</t>
  </si>
  <si>
    <t>URSSAF</t>
  </si>
  <si>
    <t>CIRCO</t>
  </si>
  <si>
    <t>TAXE SUR SEJOUR</t>
  </si>
  <si>
    <t>TVA SUR BIENS ET SERVICES 5,5 %</t>
  </si>
  <si>
    <t>TVA SUR BIENS ET SERVICES 20 %</t>
  </si>
  <si>
    <t>TVA COLLECTEE 10 %</t>
  </si>
  <si>
    <t>TVA COLLECTEE 20 %</t>
  </si>
  <si>
    <t>CARTES A L'ENCAISSEMENT</t>
  </si>
  <si>
    <t>CREDIT AGRICOLE</t>
  </si>
  <si>
    <t>CAISSE</t>
  </si>
  <si>
    <t>PRIMES D'ASSURANCES</t>
  </si>
  <si>
    <t>PUBLICITE</t>
  </si>
  <si>
    <t>REMUNERATION DU PERSONNEL</t>
  </si>
  <si>
    <t>INTERETS EMPRUNTS ET DETTES</t>
  </si>
  <si>
    <t>Débit</t>
  </si>
  <si>
    <t>Crédit</t>
  </si>
  <si>
    <t>N° de compte</t>
  </si>
  <si>
    <t>Libellé</t>
  </si>
  <si>
    <t>TOTAUX</t>
  </si>
  <si>
    <t>RESULTAT</t>
  </si>
  <si>
    <t>ACHATS DE DENREES ALIMENTAIRES (RESTAURANT)</t>
  </si>
  <si>
    <t>ACHATS DE DENREES ALIMENTAIRES (PETIT DEJEUNER)</t>
  </si>
  <si>
    <t>ACHATS DE BOISSONS (RESTAURANT)</t>
  </si>
  <si>
    <t>ACHATS DE BOISSONS (MINIBAR ET SERVICE EN CHAMBRE)</t>
  </si>
  <si>
    <t>FOURNITURES CONSOMMABLES</t>
  </si>
  <si>
    <t>FOURNITURES NON STOCKEES</t>
  </si>
  <si>
    <t>FOURNITURES D'ENTRETIEN</t>
  </si>
  <si>
    <t>FOURNITURES ADMINISTRATIVES</t>
  </si>
  <si>
    <t>ENTRETIEN ET REPARATIONS</t>
  </si>
  <si>
    <t>PERSONNEL EXTERIEUR A L'ENTREPRISE</t>
  </si>
  <si>
    <t>FRAIS POSTAUX ET TELECOMMUNICATONS</t>
  </si>
  <si>
    <t>IMPOTS, TAXES SUR REMUNERATIONS</t>
  </si>
  <si>
    <t>AUTRES IMPOTS, TAXES ET VERSEMENTS ASSIMILES</t>
  </si>
  <si>
    <t>CHARGES DE SS ET DE PREVOYANCE</t>
  </si>
  <si>
    <t>PRESTATIONS CHAMBRES</t>
  </si>
  <si>
    <t>PENSIONS COMPLETES</t>
  </si>
  <si>
    <t>PETITS DEJEUNERS - BARS (HOTEL)</t>
  </si>
  <si>
    <t>PRESTATIONS RESTAURANT</t>
  </si>
  <si>
    <t>SERVICES HOTEL</t>
  </si>
  <si>
    <t>FRAIS ACCESSOIRES FACTURES HOTEL</t>
  </si>
  <si>
    <t>DOTATIONS AUX AMORTISSEMENTS IMMOBILISATIONS</t>
  </si>
  <si>
    <t xml:space="preserve">Les achats de denrées non transformées sont considérés comme des achats de matières premières </t>
  </si>
  <si>
    <t>car ils sont incorporés dans un produit fini : le repas ou la chambre d'hôtel.</t>
  </si>
  <si>
    <t>Compte de résultat différentiel</t>
  </si>
  <si>
    <t>Hôtel</t>
  </si>
  <si>
    <t>Restaurant</t>
  </si>
  <si>
    <t>Total</t>
  </si>
  <si>
    <t>Pensions chambres</t>
  </si>
  <si>
    <t>Pensions complètes</t>
  </si>
  <si>
    <t>Petits déjeuners - Bar</t>
  </si>
  <si>
    <t>Prestations restaurant</t>
  </si>
  <si>
    <t>Services hôtel</t>
  </si>
  <si>
    <t>Services accessoires facturés</t>
  </si>
  <si>
    <t>Chiffre d'affaires</t>
  </si>
  <si>
    <t>Nombre de chambres occupées</t>
  </si>
  <si>
    <t>Nombre de repas servis</t>
  </si>
  <si>
    <t>Prix de vente moyen</t>
  </si>
  <si>
    <t>Charges variables</t>
  </si>
  <si>
    <t>Achats de denrées alimentaires</t>
  </si>
  <si>
    <t>Achats de boissons</t>
  </si>
  <si>
    <t>Fournitures consommables</t>
  </si>
  <si>
    <t>Fournitures non stockables</t>
  </si>
  <si>
    <t>Fournitures d'entretien</t>
  </si>
  <si>
    <t>Total charges variables</t>
  </si>
  <si>
    <t>entretien et réparations</t>
  </si>
  <si>
    <t>Primes d'assurance</t>
  </si>
  <si>
    <t>Personnel extérieur</t>
  </si>
  <si>
    <t>Frais postaux et telécom</t>
  </si>
  <si>
    <t>Impôts et taxes/rémunérations</t>
  </si>
  <si>
    <t>Rémunération du personnel</t>
  </si>
  <si>
    <t>Charges de SS</t>
  </si>
  <si>
    <t>Dotations aux amts</t>
  </si>
  <si>
    <t>Total charges fixes directes</t>
  </si>
  <si>
    <t>Charges fixes communes</t>
  </si>
  <si>
    <t>Fournitures administratives</t>
  </si>
  <si>
    <t>Publicité</t>
  </si>
  <si>
    <t>Impôts et taxes</t>
  </si>
  <si>
    <t>Rémunérations du personnel</t>
  </si>
  <si>
    <t>Charges d'intérêt</t>
  </si>
  <si>
    <t>Total des charges fixes communes</t>
  </si>
  <si>
    <t>Résultat analytique</t>
  </si>
  <si>
    <t>SR en quantité</t>
  </si>
  <si>
    <t>Renseignements relatifs aux produits et aux charges</t>
  </si>
  <si>
    <t>Les produits de pensions complètes sont répartis entre l’hôtel et le restaurant en fonction d’un prix moyen et d’une occupation moyenne des chambres, soit :</t>
  </si>
  <si>
    <t xml:space="preserve">- hôtel : </t>
  </si>
  <si>
    <t>- restaurant :</t>
  </si>
  <si>
    <t>On considère que les variations de stocks sont infimes entre le début et la fin du mois, et qu’elles n’ont qu’une influence négligeable sur le résultat mensuel.</t>
  </si>
  <si>
    <t>Répartition des frais généraux :</t>
  </si>
  <si>
    <t>Charges</t>
  </si>
  <si>
    <t>Fournitures d’entretien</t>
  </si>
  <si>
    <t>Entretien et réparations</t>
  </si>
  <si>
    <t>Primes d’assurance</t>
  </si>
  <si>
    <t>Frais postaux et frais de télécommunications</t>
  </si>
  <si>
    <t>Répartition des charges liées au personnel :</t>
  </si>
  <si>
    <t>Non réparties</t>
  </si>
  <si>
    <t>REMUNERATIONS DU PERSONNEL</t>
  </si>
  <si>
    <t>Le personnel extérieur à l’entreprise est à rattacher à l’activité Hôtel.</t>
  </si>
  <si>
    <t>Les charges non réparties sont les suivantes :</t>
  </si>
  <si>
    <t>Compte</t>
  </si>
  <si>
    <t>Intitulé</t>
  </si>
  <si>
    <t>Autres impôts, taxes et versements assimilés</t>
  </si>
  <si>
    <t>Charges d’intérêt</t>
  </si>
  <si>
    <t>Répartition des dotations aux amortissements :</t>
  </si>
  <si>
    <t>Dans les comptes d'achats, seuls les comptes 601100 à 606300 augmentent proportionnellement à l'activité mesurée par le nombre de repas pour le restaurant et par le nombre de chambres utilisées pour l'hôtel.</t>
  </si>
  <si>
    <t>Nombre de repas servis au cours du mois</t>
  </si>
  <si>
    <t>CV unitaires</t>
  </si>
  <si>
    <t>Charges fixes directes</t>
  </si>
  <si>
    <t>Contrôle balance</t>
  </si>
  <si>
    <t>Taux de M/CV</t>
  </si>
  <si>
    <t>Taux de M/CS</t>
  </si>
  <si>
    <t>M/CV</t>
  </si>
  <si>
    <t>M/CS</t>
  </si>
  <si>
    <t>La suppression de l'activité "hôtel" entraîne la suppression des charges variables et des charges fixes directes de cette activité</t>
  </si>
  <si>
    <t>Raisonnement par le coût marginal</t>
  </si>
  <si>
    <t>Le lundi étant un jour de faible remplissage, la structure de l'hôtel restaurant restera inchangée.</t>
  </si>
  <si>
    <t>Seules les charges variables vont donc augmenter.</t>
  </si>
  <si>
    <t>Pour un passage, le nombre de chambres occupées sera de :</t>
  </si>
  <si>
    <t>Le nombre de repas servi sera de :</t>
  </si>
  <si>
    <t>Jour</t>
  </si>
  <si>
    <t>Pièce</t>
  </si>
  <si>
    <t>résultat</t>
  </si>
  <si>
    <t xml:space="preserve">achats de denrées alimentaires (restaurant) </t>
  </si>
  <si>
    <t>achats de denrées alimentaires (petit déjeuner)</t>
  </si>
  <si>
    <t>achats de boissons (restaurant)</t>
  </si>
  <si>
    <t>achats de boissons (minibar et service en chambre)</t>
  </si>
  <si>
    <t>fournitures consommables</t>
  </si>
  <si>
    <t>fournitures non stockables</t>
  </si>
  <si>
    <t>fournitures d'entretien</t>
  </si>
  <si>
    <t>fournitures administratives</t>
  </si>
  <si>
    <t>personnel extérieur à l'entreprise</t>
  </si>
  <si>
    <t>frais postaux et de télécommunications</t>
  </si>
  <si>
    <t>impôts, taxes sur rémunérations</t>
  </si>
  <si>
    <t>autres impôts, taxes et versements assimilés</t>
  </si>
  <si>
    <t>charges de SS et de prévoyance</t>
  </si>
  <si>
    <t>dotations aux amortissements des immobilisations</t>
  </si>
  <si>
    <t>prestations chambres</t>
  </si>
  <si>
    <t>pensions complètes</t>
  </si>
  <si>
    <t>petits déjeuners - bars (hôtel)</t>
  </si>
  <si>
    <t>prestations restaurant</t>
  </si>
  <si>
    <t>services hôtel</t>
  </si>
  <si>
    <t>frais accessoires facturés hôtel</t>
  </si>
  <si>
    <t>Maintien de l'activité</t>
  </si>
  <si>
    <t xml:space="preserve">TARIF NTT 100 kg </t>
  </si>
  <si>
    <t>Sous-traitance</t>
  </si>
  <si>
    <t>TARIF NTT / kg</t>
  </si>
  <si>
    <t>MOD</t>
  </si>
  <si>
    <t>DAP</t>
  </si>
  <si>
    <t>Intérêts</t>
  </si>
  <si>
    <t>TOTAL</t>
  </si>
  <si>
    <t>Coûts de l’activité de buanderie</t>
  </si>
  <si>
    <t>pour</t>
  </si>
  <si>
    <t>kg</t>
  </si>
  <si>
    <t xml:space="preserve">L’activité nécessite la présence d’un membre du personnel, rémunéré à un taux de :
charges sociales et fiscales comprises. </t>
  </si>
  <si>
    <t>kg/heure</t>
  </si>
  <si>
    <t>Cette personne est capable de traiter :</t>
  </si>
  <si>
    <t>La consommation d’eau, d’énergie et produits de lessive est évaluée à :</t>
  </si>
  <si>
    <t>Le matériel devrait être renouvelé en début d’année ; son coût d’acquisition est de :</t>
  </si>
  <si>
    <t>ans</t>
  </si>
  <si>
    <t>la durée d’amortissement serait de :
 par fractions égales.</t>
  </si>
  <si>
    <t>Pour financer l’acquisition du matériel, un emprunt du même montant serait effectué, remboursable au terme de :</t>
  </si>
  <si>
    <t>Il serait possible d’obtenir de la banque un taux de :</t>
  </si>
  <si>
    <t>Energie</t>
  </si>
  <si>
    <t>Tarifs sous-traitance</t>
  </si>
  <si>
    <t>Coûts activité buanderie : maintien ou sous taitance</t>
  </si>
  <si>
    <t>Coût unitaire maintien</t>
  </si>
  <si>
    <t>MS</t>
  </si>
  <si>
    <t>IS</t>
  </si>
  <si>
    <t>CHARGES DE SECURITE SOCIALE</t>
  </si>
  <si>
    <t>MODIFICATIONS APPORTEES PAR RAPPORT AU SUJET INITIAL</t>
  </si>
  <si>
    <t>Dont modification</t>
  </si>
  <si>
    <t>+100</t>
  </si>
  <si>
    <t>MISSIONS 1 et 2</t>
  </si>
  <si>
    <t>MISSION 3</t>
  </si>
  <si>
    <t>MISSION 4</t>
  </si>
  <si>
    <t>-700</t>
  </si>
  <si>
    <t>Coût horaire d'un salarié à la buanderie : 13 € au lieu de 11 €</t>
  </si>
  <si>
    <t>Ecart</t>
  </si>
  <si>
    <t>Capacité de traitement : 60 kg au lieu de 50 kg</t>
  </si>
  <si>
    <t>Forfait proposé par le tour operator : 1 150 € par passage au lieu de 1 000 €</t>
  </si>
  <si>
    <t>SR en valeurs : CF directes/taux MCV</t>
  </si>
  <si>
    <t xml:space="preserve">Salaires augmentés de 3 % </t>
  </si>
  <si>
    <t>Taux de cotisations patronales réduit de 40 % à 35 %</t>
  </si>
  <si>
    <t xml:space="preserve"> </t>
  </si>
  <si>
    <t>Taux d'emprunt : 5 % au lieu de 1 %</t>
  </si>
  <si>
    <t>Investissement de 17 580 € au lieu de 18 300 €</t>
  </si>
  <si>
    <t>+1000</t>
  </si>
  <si>
    <t>Impact de la baisse de 700 € des prestations restaurant (voir ci-dessus) sur les charges variables de l'hôtel</t>
  </si>
  <si>
    <t>variables</t>
  </si>
  <si>
    <t>Colonne1</t>
  </si>
  <si>
    <t>fixes</t>
  </si>
  <si>
    <t>Colonne2</t>
  </si>
  <si>
    <t>valeur cible pour faire appel à la sous traitance</t>
  </si>
  <si>
    <t>62 786 kg</t>
  </si>
  <si>
    <t>Coûts de l'activité buanderie en fonction des volumes d'activité (kg)</t>
  </si>
  <si>
    <t xml:space="preserve">La quantité moyenne traitée est de 59 000 Kg. </t>
  </si>
  <si>
    <r>
      <rPr>
        <u/>
        <sz val="10"/>
        <rFont val="Arial"/>
        <family val="2"/>
      </rPr>
      <t>Stratégiquement</t>
    </r>
    <r>
      <rPr>
        <sz val="10"/>
        <rFont val="Arial"/>
        <family val="2"/>
      </rPr>
      <t>, 
la sous-traitance évite de gérer le personnel, gérer les machines et libère de la place…
Cependant, elle crée une dépendance vis-à-vis d'un tiers qui peut contraindre l'entreprise, par exemple en cas de désaccord avec la société NTT (aug des prestations…)</t>
    </r>
  </si>
  <si>
    <t>Eléments de corrigé de la note</t>
  </si>
  <si>
    <r>
      <rPr>
        <u/>
        <sz val="10"/>
        <rFont val="Arial"/>
        <family val="2"/>
      </rPr>
      <t>Conclusion</t>
    </r>
    <r>
      <rPr>
        <sz val="10"/>
        <rFont val="Arial"/>
        <family val="2"/>
      </rPr>
      <t xml:space="preserve"> : le gain de la sous-traitance reste faible financièrement et prive l'entreprise d'une indépendance. Je conseille de maintenir l'activité buanderie en interne.</t>
    </r>
  </si>
  <si>
    <r>
      <rPr>
        <u/>
        <sz val="10"/>
        <rFont val="Arial"/>
        <family val="2"/>
      </rPr>
      <t>Financièrement</t>
    </r>
    <r>
      <rPr>
        <sz val="10"/>
        <rFont val="Arial"/>
        <family val="2"/>
      </rPr>
      <t>, il est préférable de faire appel à la sous-traitance, ce qui nous ferai économiser 265 € en considérant une activité moyenne de 59 000 kg. Ce résultat peut être à nuancer selon les persoectives d'augmentation ou de diminutaion de l'activité.</t>
    </r>
  </si>
  <si>
    <t>sursalaire</t>
  </si>
  <si>
    <t>surtemps</t>
  </si>
  <si>
    <t>surconsommations</t>
  </si>
  <si>
    <t>non production</t>
  </si>
  <si>
    <t>Heures sup</t>
  </si>
  <si>
    <t>5 H * 40€</t>
  </si>
  <si>
    <t>Produits d'entretien</t>
  </si>
  <si>
    <t>969,5 / 12 mois * augm de 20%</t>
  </si>
  <si>
    <t>perte clientèle</t>
  </si>
  <si>
    <t>Ms/CV par nuité * 6 nuitées</t>
  </si>
  <si>
    <t>coût caché du au surcroît de travail</t>
  </si>
  <si>
    <t>Mission 4A : Evaluation des coûts cachés liés à la suractivité</t>
  </si>
  <si>
    <t>Mission 4B : Evaluation du coût de recrutement d’une nouvelle femme de ménage</t>
  </si>
  <si>
    <t>Formation de M. RODRIGO</t>
  </si>
  <si>
    <t>Formation de Mme LEFEBVRE</t>
  </si>
  <si>
    <t>salaire brut pour 15 jours (1800/2) * 20% (formation)</t>
  </si>
  <si>
    <t>Prime personnel entretien</t>
  </si>
  <si>
    <t>7 personnes * prime de 200 €</t>
  </si>
  <si>
    <t>HS personnel d'entretien</t>
  </si>
  <si>
    <t>Réorganisation directrice</t>
  </si>
  <si>
    <t>52HS * 15€ (coût horaire) *1,25 (majoration des HS) * 1,32 (charges patronales)</t>
  </si>
  <si>
    <t>Charges patronales</t>
  </si>
  <si>
    <t>Total du surcoût</t>
  </si>
  <si>
    <t>Total du non production</t>
  </si>
  <si>
    <t>Coût interne du recrutement</t>
  </si>
  <si>
    <t>Coût externe du recrutement</t>
  </si>
  <si>
    <t>Entretiens de recrutement</t>
  </si>
  <si>
    <t>Gestion administrative des recrutement</t>
  </si>
  <si>
    <t>50 € l'entretien * (6 + 4) entretiens</t>
  </si>
  <si>
    <t>Intérim</t>
  </si>
  <si>
    <t>coût d'intérim (2 820 €) - économie du salaire de mme Dumas (2360 - 930)</t>
  </si>
  <si>
    <t>Indice de sécurité : phrase expliquant sa signification pour l'activité Hôtel</t>
  </si>
  <si>
    <t>Dotations aux amortissements</t>
  </si>
  <si>
    <t>Qté</t>
  </si>
  <si>
    <t>PU</t>
  </si>
  <si>
    <t>M</t>
  </si>
  <si>
    <t>Ventes marginales</t>
  </si>
  <si>
    <t>Bénéfice marginal</t>
  </si>
  <si>
    <t xml:space="preserve">Total de la non production </t>
  </si>
  <si>
    <t>Coût total lié au remplacement de madame DUMAS</t>
  </si>
  <si>
    <t>30 HS au taux de  15 € *1,25 majoration</t>
  </si>
  <si>
    <t>((formation (180*2)+HS (562,50) + prime (200)) * 32%</t>
  </si>
  <si>
    <t>Marge sur coût variable unitaire</t>
  </si>
  <si>
    <t>avec chag sociales</t>
  </si>
  <si>
    <t>Rédaction des deux contrats de 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</si>
</sst>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_ ;[Red]\-#,##0.00\ "/>
    <numFmt numFmtId="167" formatCode="#,##0.00_ ;\-#,##0.00\ "/>
    <numFmt numFmtId="168" formatCode="#,##0_ ;\-#,##0\ "/>
    <numFmt numFmtId="169" formatCode="_-* #,##0.00\ [$€-40C]_-;\-* #,##0.00\ [$€-40C]_-;_-* &quot;-&quot;??\ [$€-40C]_-;_-@_-"/>
    <numFmt numFmtId="170" formatCode="0.0%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Times New Roman"/>
      <family val="1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u/>
      <sz val="1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0"/>
  </cellStyleXfs>
  <cellXfs count="244">
    <xf numFmtId="0" fontId="0" fillId="0" borderId="0" xfId="0"/>
    <xf numFmtId="166" fontId="0" fillId="0" borderId="0" xfId="0" applyNumberFormat="1"/>
    <xf numFmtId="0" fontId="0" fillId="3" borderId="1" xfId="0" applyFill="1" applyBorder="1"/>
    <xf numFmtId="0" fontId="0" fillId="0" borderId="1" xfId="0" applyBorder="1"/>
    <xf numFmtId="49" fontId="0" fillId="0" borderId="1" xfId="0" applyNumberFormat="1" applyBorder="1"/>
    <xf numFmtId="0" fontId="0" fillId="4" borderId="1" xfId="0" applyFill="1" applyBorder="1"/>
    <xf numFmtId="49" fontId="0" fillId="2" borderId="1" xfId="0" applyNumberFormat="1" applyFill="1" applyBorder="1"/>
    <xf numFmtId="0" fontId="1" fillId="0" borderId="0" xfId="0" applyFont="1"/>
    <xf numFmtId="49" fontId="0" fillId="4" borderId="1" xfId="0" applyNumberFormat="1" applyFill="1" applyBorder="1"/>
    <xf numFmtId="0" fontId="1" fillId="4" borderId="1" xfId="0" applyFont="1" applyFill="1" applyBorder="1"/>
    <xf numFmtId="0" fontId="0" fillId="3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2" fontId="0" fillId="3" borderId="1" xfId="0" applyNumberFormat="1" applyFill="1" applyBorder="1" applyAlignment="1">
      <alignment horizontal="center"/>
    </xf>
    <xf numFmtId="2" fontId="0" fillId="0" borderId="0" xfId="0" applyNumberFormat="1"/>
    <xf numFmtId="4" fontId="0" fillId="0" borderId="1" xfId="0" applyNumberFormat="1" applyBorder="1"/>
    <xf numFmtId="4" fontId="0" fillId="4" borderId="1" xfId="0" applyNumberFormat="1" applyFill="1" applyBorder="1"/>
    <xf numFmtId="4" fontId="1" fillId="4" borderId="1" xfId="0" applyNumberFormat="1" applyFont="1" applyFill="1" applyBorder="1"/>
    <xf numFmtId="4" fontId="0" fillId="5" borderId="1" xfId="0" applyNumberFormat="1" applyFill="1" applyBorder="1"/>
    <xf numFmtId="4" fontId="1" fillId="0" borderId="0" xfId="0" applyNumberFormat="1" applyFont="1"/>
    <xf numFmtId="0" fontId="0" fillId="2" borderId="1" xfId="0" applyFill="1" applyBorder="1"/>
    <xf numFmtId="4" fontId="0" fillId="2" borderId="1" xfId="0" applyNumberFormat="1" applyFill="1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1" fillId="0" borderId="1" xfId="0" applyFont="1" applyBorder="1"/>
    <xf numFmtId="0" fontId="0" fillId="0" borderId="1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10" fontId="1" fillId="0" borderId="1" xfId="3" applyNumberFormat="1" applyFont="1" applyBorder="1"/>
    <xf numFmtId="9" fontId="0" fillId="0" borderId="0" xfId="3" applyFont="1"/>
    <xf numFmtId="0" fontId="0" fillId="0" borderId="0" xfId="0" applyAlignment="1">
      <alignment horizontal="center"/>
    </xf>
    <xf numFmtId="44" fontId="0" fillId="0" borderId="7" xfId="2" applyFont="1" applyBorder="1" applyAlignment="1">
      <alignment horizontal="right"/>
    </xf>
    <xf numFmtId="44" fontId="0" fillId="0" borderId="8" xfId="2" applyFont="1" applyBorder="1" applyAlignment="1">
      <alignment horizontal="right"/>
    </xf>
    <xf numFmtId="44" fontId="0" fillId="0" borderId="7" xfId="2" applyFont="1" applyBorder="1" applyAlignment="1">
      <alignment horizontal="center"/>
    </xf>
    <xf numFmtId="44" fontId="0" fillId="0" borderId="9" xfId="2" applyFont="1" applyBorder="1" applyAlignment="1">
      <alignment horizontal="right"/>
    </xf>
    <xf numFmtId="44" fontId="0" fillId="0" borderId="9" xfId="2" applyFont="1" applyBorder="1" applyAlignment="1">
      <alignment horizontal="center"/>
    </xf>
    <xf numFmtId="44" fontId="0" fillId="0" borderId="10" xfId="2" applyFont="1" applyBorder="1" applyAlignment="1">
      <alignment horizontal="right"/>
    </xf>
    <xf numFmtId="44" fontId="1" fillId="0" borderId="10" xfId="2" applyFont="1" applyBorder="1" applyAlignment="1">
      <alignment horizontal="right"/>
    </xf>
    <xf numFmtId="44" fontId="1" fillId="0" borderId="8" xfId="2" applyFont="1" applyBorder="1" applyAlignment="1">
      <alignment horizontal="right"/>
    </xf>
    <xf numFmtId="44" fontId="1" fillId="0" borderId="1" xfId="2" applyFont="1" applyBorder="1" applyAlignment="1">
      <alignment horizontal="right"/>
    </xf>
    <xf numFmtId="44" fontId="1" fillId="0" borderId="11" xfId="2" applyFont="1" applyBorder="1" applyAlignment="1">
      <alignment horizontal="right"/>
    </xf>
    <xf numFmtId="44" fontId="0" fillId="0" borderId="5" xfId="2" applyFont="1" applyBorder="1"/>
    <xf numFmtId="44" fontId="0" fillId="0" borderId="8" xfId="2" applyFont="1" applyBorder="1"/>
    <xf numFmtId="44" fontId="0" fillId="0" borderId="10" xfId="2" applyFont="1" applyBorder="1"/>
    <xf numFmtId="44" fontId="1" fillId="0" borderId="1" xfId="2" applyFont="1" applyBorder="1"/>
    <xf numFmtId="44" fontId="0" fillId="0" borderId="5" xfId="2" applyFont="1" applyFill="1" applyBorder="1"/>
    <xf numFmtId="44" fontId="0" fillId="0" borderId="8" xfId="2" applyFont="1" applyFill="1" applyBorder="1"/>
    <xf numFmtId="44" fontId="0" fillId="0" borderId="10" xfId="2" applyFont="1" applyFill="1" applyBorder="1"/>
    <xf numFmtId="44" fontId="0" fillId="0" borderId="1" xfId="2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0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44" fontId="11" fillId="0" borderId="19" xfId="2" applyFont="1" applyBorder="1" applyAlignment="1">
      <alignment horizontal="right" vertical="center" wrapText="1"/>
    </xf>
    <xf numFmtId="44" fontId="11" fillId="0" borderId="2" xfId="2" applyFont="1" applyBorder="1" applyAlignment="1">
      <alignment horizontal="right" vertical="center" wrapText="1"/>
    </xf>
    <xf numFmtId="0" fontId="10" fillId="0" borderId="0" xfId="0" applyFont="1" applyAlignment="1">
      <alignment horizontal="justify" vertical="center"/>
    </xf>
    <xf numFmtId="0" fontId="11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67" fontId="2" fillId="0" borderId="0" xfId="2" applyNumberFormat="1" applyFont="1" applyAlignment="1">
      <alignment horizontal="justify" vertical="center"/>
    </xf>
    <xf numFmtId="168" fontId="1" fillId="0" borderId="1" xfId="2" applyNumberFormat="1" applyFont="1" applyBorder="1" applyAlignment="1">
      <alignment horizontal="right"/>
    </xf>
    <xf numFmtId="168" fontId="1" fillId="0" borderId="10" xfId="2" applyNumberFormat="1" applyFont="1" applyBorder="1" applyAlignment="1">
      <alignment horizontal="right"/>
    </xf>
    <xf numFmtId="44" fontId="0" fillId="0" borderId="0" xfId="2" applyFont="1"/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4" fontId="0" fillId="0" borderId="5" xfId="0" applyNumberFormat="1" applyBorder="1"/>
    <xf numFmtId="4" fontId="0" fillId="0" borderId="8" xfId="0" applyNumberFormat="1" applyBorder="1"/>
    <xf numFmtId="4" fontId="0" fillId="0" borderId="10" xfId="0" applyNumberFormat="1" applyBorder="1"/>
    <xf numFmtId="44" fontId="1" fillId="8" borderId="5" xfId="2" applyFont="1" applyFill="1" applyBorder="1" applyAlignment="1">
      <alignment horizontal="right"/>
    </xf>
    <xf numFmtId="44" fontId="1" fillId="8" borderId="8" xfId="2" applyFont="1" applyFill="1" applyBorder="1" applyAlignment="1">
      <alignment horizontal="right"/>
    </xf>
    <xf numFmtId="44" fontId="1" fillId="8" borderId="10" xfId="2" applyFont="1" applyFill="1" applyBorder="1" applyAlignment="1">
      <alignment horizontal="right"/>
    </xf>
    <xf numFmtId="0" fontId="0" fillId="8" borderId="6" xfId="0" applyFill="1" applyBorder="1"/>
    <xf numFmtId="0" fontId="0" fillId="8" borderId="14" xfId="0" applyFill="1" applyBorder="1"/>
    <xf numFmtId="0" fontId="0" fillId="8" borderId="7" xfId="0" applyFill="1" applyBorder="1"/>
    <xf numFmtId="0" fontId="0" fillId="8" borderId="15" xfId="0" applyFill="1" applyBorder="1"/>
    <xf numFmtId="0" fontId="0" fillId="8" borderId="9" xfId="0" applyFill="1" applyBorder="1"/>
    <xf numFmtId="0" fontId="0" fillId="8" borderId="5" xfId="0" applyFill="1" applyBorder="1"/>
    <xf numFmtId="0" fontId="0" fillId="8" borderId="10" xfId="0" applyFill="1" applyBorder="1"/>
    <xf numFmtId="44" fontId="0" fillId="0" borderId="8" xfId="2" applyFont="1" applyBorder="1" applyAlignment="1">
      <alignment horizontal="center"/>
    </xf>
    <xf numFmtId="44" fontId="0" fillId="0" borderId="10" xfId="2" applyFont="1" applyBorder="1" applyAlignment="1">
      <alignment horizontal="center"/>
    </xf>
    <xf numFmtId="44" fontId="0" fillId="0" borderId="5" xfId="0" applyNumberFormat="1" applyBorder="1"/>
    <xf numFmtId="44" fontId="0" fillId="0" borderId="8" xfId="0" applyNumberFormat="1" applyBorder="1"/>
    <xf numFmtId="0" fontId="5" fillId="7" borderId="1" xfId="0" applyFont="1" applyFill="1" applyBorder="1"/>
    <xf numFmtId="44" fontId="5" fillId="7" borderId="1" xfId="2" applyFont="1" applyFill="1" applyBorder="1"/>
    <xf numFmtId="164" fontId="5" fillId="7" borderId="1" xfId="1" applyNumberFormat="1" applyFont="1" applyFill="1" applyBorder="1"/>
    <xf numFmtId="0" fontId="5" fillId="7" borderId="11" xfId="0" applyFont="1" applyFill="1" applyBorder="1"/>
    <xf numFmtId="44" fontId="5" fillId="7" borderId="13" xfId="0" applyNumberFormat="1" applyFont="1" applyFill="1" applyBorder="1"/>
    <xf numFmtId="44" fontId="0" fillId="0" borderId="0" xfId="0" applyNumberFormat="1"/>
    <xf numFmtId="0" fontId="5" fillId="7" borderId="0" xfId="0" applyFont="1" applyFill="1"/>
    <xf numFmtId="0" fontId="6" fillId="7" borderId="0" xfId="0" applyFont="1" applyFill="1"/>
    <xf numFmtId="0" fontId="6" fillId="3" borderId="0" xfId="0" applyFont="1" applyFill="1"/>
    <xf numFmtId="0" fontId="0" fillId="3" borderId="0" xfId="0" applyFill="1"/>
    <xf numFmtId="49" fontId="0" fillId="0" borderId="0" xfId="0" applyNumberFormat="1"/>
    <xf numFmtId="49" fontId="0" fillId="2" borderId="24" xfId="0" applyNumberFormat="1" applyFill="1" applyBorder="1"/>
    <xf numFmtId="49" fontId="0" fillId="0" borderId="24" xfId="0" applyNumberFormat="1" applyBorder="1"/>
    <xf numFmtId="0" fontId="14" fillId="0" borderId="0" xfId="4"/>
    <xf numFmtId="0" fontId="14" fillId="0" borderId="1" xfId="4" applyBorder="1"/>
    <xf numFmtId="0" fontId="15" fillId="0" borderId="1" xfId="4" applyFont="1" applyBorder="1"/>
    <xf numFmtId="0" fontId="14" fillId="0" borderId="8" xfId="4" applyBorder="1"/>
    <xf numFmtId="0" fontId="14" fillId="0" borderId="10" xfId="4" applyBorder="1"/>
    <xf numFmtId="0" fontId="16" fillId="0" borderId="0" xfId="0" applyFont="1"/>
    <xf numFmtId="0" fontId="3" fillId="0" borderId="0" xfId="0" applyFont="1" applyAlignment="1">
      <alignment horizontal="left"/>
    </xf>
    <xf numFmtId="164" fontId="15" fillId="0" borderId="1" xfId="1" applyNumberFormat="1" applyFont="1" applyBorder="1" applyAlignment="1">
      <alignment horizontal="center" vertical="center"/>
    </xf>
    <xf numFmtId="0" fontId="14" fillId="0" borderId="5" xfId="4" applyBorder="1"/>
    <xf numFmtId="0" fontId="17" fillId="0" borderId="8" xfId="4" applyFont="1" applyBorder="1"/>
    <xf numFmtId="0" fontId="5" fillId="0" borderId="0" xfId="0" applyFont="1" applyAlignment="1">
      <alignment horizontal="center"/>
    </xf>
    <xf numFmtId="44" fontId="14" fillId="0" borderId="1" xfId="2" applyFont="1" applyBorder="1"/>
    <xf numFmtId="44" fontId="14" fillId="0" borderId="0" xfId="2" applyFont="1" applyBorder="1"/>
    <xf numFmtId="0" fontId="17" fillId="0" borderId="10" xfId="4" applyFont="1" applyBorder="1"/>
    <xf numFmtId="170" fontId="5" fillId="7" borderId="1" xfId="3" applyNumberFormat="1" applyFont="1" applyFill="1" applyBorder="1" applyAlignment="1">
      <alignment horizontal="center"/>
    </xf>
    <xf numFmtId="44" fontId="11" fillId="0" borderId="0" xfId="2" applyFont="1" applyAlignment="1">
      <alignment horizontal="justify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3" fontId="16" fillId="0" borderId="0" xfId="0" applyNumberFormat="1" applyFont="1"/>
    <xf numFmtId="44" fontId="11" fillId="0" borderId="0" xfId="2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0" fillId="3" borderId="8" xfId="0" applyFill="1" applyBorder="1"/>
    <xf numFmtId="4" fontId="0" fillId="0" borderId="0" xfId="0" applyNumberFormat="1"/>
    <xf numFmtId="4" fontId="0" fillId="2" borderId="24" xfId="0" applyNumberForma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8" fillId="0" borderId="0" xfId="0" applyFont="1" applyAlignment="1">
      <alignment vertical="center" wrapText="1"/>
    </xf>
    <xf numFmtId="4" fontId="1" fillId="9" borderId="1" xfId="0" applyNumberFormat="1" applyFont="1" applyFill="1" applyBorder="1"/>
    <xf numFmtId="0" fontId="1" fillId="10" borderId="1" xfId="0" applyFont="1" applyFill="1" applyBorder="1" applyAlignment="1">
      <alignment horizontal="center"/>
    </xf>
    <xf numFmtId="4" fontId="1" fillId="10" borderId="1" xfId="0" applyNumberFormat="1" applyFont="1" applyFill="1" applyBorder="1"/>
    <xf numFmtId="4" fontId="0" fillId="9" borderId="1" xfId="0" applyNumberFormat="1" applyFill="1" applyBorder="1"/>
    <xf numFmtId="4" fontId="0" fillId="0" borderId="1" xfId="0" applyNumberFormat="1" applyFill="1" applyBorder="1"/>
    <xf numFmtId="0" fontId="8" fillId="0" borderId="17" xfId="0" applyFont="1" applyBorder="1" applyAlignment="1">
      <alignment vertical="center" wrapText="1"/>
    </xf>
    <xf numFmtId="0" fontId="0" fillId="0" borderId="10" xfId="0" applyFill="1" applyBorder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44" fontId="26" fillId="0" borderId="12" xfId="2" applyFont="1" applyBorder="1" applyAlignment="1">
      <alignment horizontal="center" vertical="center"/>
    </xf>
    <xf numFmtId="0" fontId="26" fillId="0" borderId="12" xfId="0" applyFont="1" applyBorder="1" applyAlignment="1">
      <alignment horizontal="left"/>
    </xf>
    <xf numFmtId="0" fontId="26" fillId="0" borderId="13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top"/>
    </xf>
    <xf numFmtId="0" fontId="26" fillId="0" borderId="12" xfId="0" applyFont="1" applyBorder="1" applyAlignment="1">
      <alignment horizontal="center"/>
    </xf>
    <xf numFmtId="0" fontId="26" fillId="0" borderId="12" xfId="0" applyFont="1" applyBorder="1"/>
    <xf numFmtId="0" fontId="26" fillId="0" borderId="13" xfId="0" applyFont="1" applyBorder="1"/>
    <xf numFmtId="0" fontId="26" fillId="0" borderId="11" xfId="0" applyFont="1" applyBorder="1"/>
    <xf numFmtId="9" fontId="26" fillId="0" borderId="12" xfId="3" applyFont="1" applyBorder="1" applyAlignment="1">
      <alignment horizontal="center"/>
    </xf>
    <xf numFmtId="168" fontId="14" fillId="0" borderId="10" xfId="2" applyNumberFormat="1" applyFont="1" applyBorder="1"/>
    <xf numFmtId="168" fontId="14" fillId="0" borderId="5" xfId="2" applyNumberFormat="1" applyFont="1" applyBorder="1"/>
    <xf numFmtId="168" fontId="14" fillId="0" borderId="8" xfId="2" applyNumberFormat="1" applyFont="1" applyBorder="1"/>
    <xf numFmtId="168" fontId="15" fillId="0" borderId="1" xfId="2" applyNumberFormat="1" applyFont="1" applyBorder="1"/>
    <xf numFmtId="168" fontId="14" fillId="0" borderId="1" xfId="2" applyNumberFormat="1" applyFont="1" applyBorder="1" applyAlignment="1">
      <alignment horizontal="center"/>
    </xf>
    <xf numFmtId="2" fontId="14" fillId="0" borderId="10" xfId="2" applyNumberFormat="1" applyFont="1" applyBorder="1" applyAlignment="1">
      <alignment horizontal="center"/>
    </xf>
    <xf numFmtId="168" fontId="14" fillId="0" borderId="10" xfId="2" applyNumberFormat="1" applyFont="1" applyBorder="1" applyAlignment="1">
      <alignment horizontal="center"/>
    </xf>
    <xf numFmtId="168" fontId="14" fillId="0" borderId="1" xfId="4" applyNumberFormat="1" applyBorder="1" applyAlignment="1">
      <alignment horizontal="center"/>
    </xf>
    <xf numFmtId="168" fontId="14" fillId="0" borderId="5" xfId="2" applyNumberFormat="1" applyFont="1" applyBorder="1" applyAlignment="1">
      <alignment horizontal="center"/>
    </xf>
    <xf numFmtId="168" fontId="14" fillId="0" borderId="8" xfId="2" applyNumberFormat="1" applyFont="1" applyBorder="1" applyAlignment="1">
      <alignment horizontal="center"/>
    </xf>
    <xf numFmtId="168" fontId="15" fillId="0" borderId="1" xfId="2" applyNumberFormat="1" applyFon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20" fontId="0" fillId="11" borderId="1" xfId="0" applyNumberForma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169" fontId="0" fillId="11" borderId="1" xfId="0" applyNumberFormat="1" applyFill="1" applyBorder="1" applyAlignment="1">
      <alignment horizontal="center"/>
    </xf>
    <xf numFmtId="20" fontId="0" fillId="12" borderId="1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69" fontId="0" fillId="12" borderId="1" xfId="0" applyNumberFormat="1" applyFill="1" applyBorder="1" applyAlignment="1">
      <alignment horizontal="center"/>
    </xf>
    <xf numFmtId="6" fontId="0" fillId="0" borderId="0" xfId="0" applyNumberFormat="1"/>
    <xf numFmtId="0" fontId="2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wrapText="1"/>
    </xf>
    <xf numFmtId="0" fontId="26" fillId="0" borderId="12" xfId="0" applyFont="1" applyBorder="1" applyAlignment="1">
      <alignment horizontal="left"/>
    </xf>
    <xf numFmtId="0" fontId="5" fillId="7" borderId="7" xfId="0" applyFont="1" applyFill="1" applyBorder="1" applyAlignment="1">
      <alignment horizontal="left"/>
    </xf>
    <xf numFmtId="0" fontId="5" fillId="7" borderId="0" xfId="0" applyFont="1" applyFill="1" applyAlignment="1">
      <alignment horizontal="left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2" fillId="7" borderId="0" xfId="0" applyFont="1" applyFill="1" applyAlignment="1">
      <alignment horizontal="center"/>
    </xf>
    <xf numFmtId="0" fontId="5" fillId="6" borderId="11" xfId="0" applyFont="1" applyFill="1" applyBorder="1"/>
    <xf numFmtId="0" fontId="6" fillId="6" borderId="12" xfId="0" applyFont="1" applyFill="1" applyBorder="1"/>
    <xf numFmtId="0" fontId="6" fillId="6" borderId="13" xfId="0" applyFont="1" applyFill="1" applyBorder="1"/>
    <xf numFmtId="0" fontId="5" fillId="6" borderId="1" xfId="0" applyFont="1" applyFill="1" applyBorder="1"/>
    <xf numFmtId="0" fontId="6" fillId="6" borderId="1" xfId="0" applyFont="1" applyFill="1" applyBorder="1"/>
    <xf numFmtId="0" fontId="5" fillId="6" borderId="12" xfId="0" applyFont="1" applyFill="1" applyBorder="1"/>
    <xf numFmtId="0" fontId="5" fillId="6" borderId="13" xfId="0" applyFont="1" applyFill="1" applyBorder="1"/>
    <xf numFmtId="0" fontId="14" fillId="0" borderId="1" xfId="4" applyBorder="1" applyAlignment="1">
      <alignment horizontal="left" vertical="top" wrapText="1"/>
    </xf>
    <xf numFmtId="0" fontId="5" fillId="7" borderId="25" xfId="0" applyFont="1" applyFill="1" applyBorder="1" applyAlignment="1">
      <alignment horizontal="center"/>
    </xf>
    <xf numFmtId="0" fontId="18" fillId="7" borderId="11" xfId="4" applyFont="1" applyFill="1" applyBorder="1" applyAlignment="1">
      <alignment horizontal="center"/>
    </xf>
    <xf numFmtId="0" fontId="18" fillId="7" borderId="13" xfId="4" applyFont="1" applyFill="1" applyBorder="1" applyAlignment="1">
      <alignment horizontal="center"/>
    </xf>
    <xf numFmtId="0" fontId="15" fillId="0" borderId="11" xfId="4" applyFont="1" applyBorder="1" applyAlignment="1">
      <alignment horizontal="center"/>
    </xf>
    <xf numFmtId="0" fontId="15" fillId="0" borderId="12" xfId="4" applyFont="1" applyBorder="1" applyAlignment="1">
      <alignment horizontal="center"/>
    </xf>
    <xf numFmtId="0" fontId="15" fillId="0" borderId="13" xfId="4" applyFont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13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1" fillId="9" borderId="11" xfId="0" applyFont="1" applyFill="1" applyBorder="1" applyAlignment="1">
      <alignment horizontal="right"/>
    </xf>
    <xf numFmtId="0" fontId="1" fillId="9" borderId="12" xfId="0" applyFont="1" applyFill="1" applyBorder="1" applyAlignment="1">
      <alignment horizontal="right"/>
    </xf>
    <xf numFmtId="0" fontId="1" fillId="9" borderId="13" xfId="0" applyFont="1" applyFill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9" borderId="6" xfId="0" applyFill="1" applyBorder="1" applyAlignment="1">
      <alignment wrapText="1"/>
    </xf>
    <xf numFmtId="4" fontId="0" fillId="9" borderId="14" xfId="0" applyNumberFormat="1" applyFill="1" applyBorder="1" applyAlignment="1">
      <alignment wrapText="1"/>
    </xf>
    <xf numFmtId="0" fontId="0" fillId="9" borderId="9" xfId="0" applyFill="1" applyBorder="1"/>
    <xf numFmtId="4" fontId="0" fillId="9" borderId="28" xfId="0" applyNumberFormat="1" applyFill="1" applyBorder="1"/>
    <xf numFmtId="0" fontId="0" fillId="13" borderId="6" xfId="0" applyFill="1" applyBorder="1"/>
    <xf numFmtId="4" fontId="0" fillId="13" borderId="14" xfId="0" applyNumberFormat="1" applyFill="1" applyBorder="1"/>
    <xf numFmtId="0" fontId="0" fillId="13" borderId="9" xfId="0" applyFill="1" applyBorder="1"/>
    <xf numFmtId="4" fontId="0" fillId="13" borderId="28" xfId="0" applyNumberFormat="1" applyFill="1" applyBorder="1"/>
    <xf numFmtId="4" fontId="0" fillId="9" borderId="5" xfId="0" applyNumberFormat="1" applyFill="1" applyBorder="1" applyAlignment="1">
      <alignment wrapText="1"/>
    </xf>
    <xf numFmtId="0" fontId="0" fillId="9" borderId="10" xfId="0" applyFill="1" applyBorder="1"/>
    <xf numFmtId="4" fontId="0" fillId="13" borderId="5" xfId="0" applyNumberFormat="1" applyFill="1" applyBorder="1"/>
    <xf numFmtId="0" fontId="0" fillId="13" borderId="10" xfId="0" applyFill="1" applyBorder="1"/>
    <xf numFmtId="0" fontId="1" fillId="10" borderId="11" xfId="0" applyFont="1" applyFill="1" applyBorder="1"/>
    <xf numFmtId="4" fontId="1" fillId="10" borderId="13" xfId="0" applyNumberFormat="1" applyFont="1" applyFill="1" applyBorder="1"/>
    <xf numFmtId="2" fontId="0" fillId="0" borderId="1" xfId="0" applyNumberFormat="1" applyBorder="1"/>
  </cellXfs>
  <cellStyles count="5">
    <cellStyle name="Milliers" xfId="1" builtinId="3"/>
    <cellStyle name="Monétaire" xfId="2" builtinId="4"/>
    <cellStyle name="Normal" xfId="0" builtinId="0"/>
    <cellStyle name="Normal 2" xfId="4" xr:uid="{00000000-0005-0000-0000-000003000000}"/>
    <cellStyle name="Pourcentage" xfId="3" builtinId="5"/>
  </cellStyles>
  <dxfs count="13"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4" tint="0.399975585192419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</dxf>
    <dxf>
      <numFmt numFmtId="4" formatCode="#,##0.0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4" formatCode="#,##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4" tint="0.399975585192419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</dxf>
    <dxf>
      <numFmt numFmtId="166" formatCode="#,##0.00_ ;[Red]\-#,##0.00\ "/>
    </dxf>
    <dxf>
      <fill>
        <patternFill patternType="solid">
          <fgColor indexed="64"/>
          <bgColor theme="4" tint="0.39997558519241921"/>
        </patternFill>
      </fill>
    </dxf>
  </dxfs>
  <tableStyles count="0" defaultTableStyle="TableStyleMedium9" defaultPivotStyle="PivotStyleLight16"/>
  <colors>
    <mruColors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/>
            </a:pPr>
            <a:r>
              <a:rPr kumimoji="0" lang="fr-FR" sz="1800" b="1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</a:rPr>
              <a:t>Comparaison des coûts liés à l'activité buanderie : maintien ou sous-traitance</a:t>
            </a:r>
            <a:endParaRPr lang="fr-F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'Mission 2'!$A$11</c:f>
              <c:strCache>
                <c:ptCount val="1"/>
                <c:pt idx="0">
                  <c:v>Maintien de l'activité</c:v>
                </c:pt>
              </c:strCache>
            </c:strRef>
          </c:tx>
          <c:marker>
            <c:symbol val="none"/>
          </c:marker>
          <c:cat>
            <c:numRef>
              <c:f>'Mission 2'!$B$10:$F$10</c:f>
              <c:numCache>
                <c:formatCode>_-* #\ ##0\ _€_-;\-* #\ ##0\ _€_-;_-* "-"\ _€_-;_-@_-</c:formatCode>
                <c:ptCount val="5"/>
                <c:pt idx="0">
                  <c:v>50000</c:v>
                </c:pt>
                <c:pt idx="1">
                  <c:v>55000</c:v>
                </c:pt>
                <c:pt idx="2">
                  <c:v>60000</c:v>
                </c:pt>
                <c:pt idx="3">
                  <c:v>65000</c:v>
                </c:pt>
                <c:pt idx="4">
                  <c:v>70000</c:v>
                </c:pt>
              </c:numCache>
            </c:numRef>
          </c:cat>
          <c:val>
            <c:numRef>
              <c:f>'Mission 2'!$B$11:$F$11</c:f>
              <c:numCache>
                <c:formatCode>#\ ##0_ ;\-#\ ##0\ </c:formatCode>
                <c:ptCount val="5"/>
                <c:pt idx="0">
                  <c:v>26395</c:v>
                </c:pt>
                <c:pt idx="1">
                  <c:v>28595</c:v>
                </c:pt>
                <c:pt idx="2">
                  <c:v>30795</c:v>
                </c:pt>
                <c:pt idx="3">
                  <c:v>32995</c:v>
                </c:pt>
                <c:pt idx="4">
                  <c:v>35195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66-426D-9329-3A9FDFDAB96E}"/>
            </c:ext>
          </c:extLst>
        </c:ser>
        <c:ser>
          <c:idx val="1"/>
          <c:order val="1"/>
          <c:tx>
            <c:strRef>
              <c:f>'Mission 2'!$A$13</c:f>
              <c:strCache>
                <c:ptCount val="1"/>
                <c:pt idx="0">
                  <c:v>Sous-traitance</c:v>
                </c:pt>
              </c:strCache>
            </c:strRef>
          </c:tx>
          <c:marker>
            <c:symbol val="none"/>
          </c:marker>
          <c:cat>
            <c:numRef>
              <c:f>'Mission 2'!$B$10:$F$10</c:f>
              <c:numCache>
                <c:formatCode>_-* #\ ##0\ _€_-;\-* #\ ##0\ _€_-;_-* "-"\ _€_-;_-@_-</c:formatCode>
                <c:ptCount val="5"/>
                <c:pt idx="0">
                  <c:v>50000</c:v>
                </c:pt>
                <c:pt idx="1">
                  <c:v>55000</c:v>
                </c:pt>
                <c:pt idx="2">
                  <c:v>60000</c:v>
                </c:pt>
                <c:pt idx="3">
                  <c:v>65000</c:v>
                </c:pt>
                <c:pt idx="4">
                  <c:v>70000</c:v>
                </c:pt>
              </c:numCache>
            </c:numRef>
          </c:cat>
          <c:val>
            <c:numRef>
              <c:f>'Mission 2'!$B$13:$F$13</c:f>
              <c:numCache>
                <c:formatCode>#\ ##0_ ;\-#\ ##0\ </c:formatCode>
                <c:ptCount val="5"/>
                <c:pt idx="0">
                  <c:v>25500</c:v>
                </c:pt>
                <c:pt idx="1">
                  <c:v>28050</c:v>
                </c:pt>
                <c:pt idx="2">
                  <c:v>30600</c:v>
                </c:pt>
                <c:pt idx="3">
                  <c:v>33150</c:v>
                </c:pt>
                <c:pt idx="4">
                  <c:v>35700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6-426D-9329-3A9FDFDAB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0776288"/>
        <c:axId val="25573071"/>
      </c:lineChart>
      <c:catAx>
        <c:axId val="1360776288"/>
        <c:scaling>
          <c:orientation val="minMax"/>
        </c:scaling>
        <c:delete val="0"/>
        <c:axPos val="b"/>
        <c:numFmt formatCode="_-* #\ ##0\ _€_-;\-* #\ ##0\ _€_-;_-* &quot;-&quot;\ _€_-;_-@_-" sourceLinked="1"/>
        <c:majorTickMark val="out"/>
        <c:minorTickMark val="none"/>
        <c:tickLblPos val="nextTo"/>
        <c:crossAx val="25573071"/>
        <c:crosses val="autoZero"/>
        <c:auto val="1"/>
        <c:lblAlgn val="ctr"/>
        <c:lblOffset val="100"/>
        <c:noMultiLvlLbl val="0"/>
      </c:catAx>
      <c:valAx>
        <c:axId val="25573071"/>
        <c:scaling>
          <c:orientation val="minMax"/>
          <c:max val="36000"/>
          <c:min val="24000"/>
        </c:scaling>
        <c:delete val="0"/>
        <c:axPos val="l"/>
        <c:majorGridlines/>
        <c:numFmt formatCode="#\ ##0_ ;\-#\ ##0\ " sourceLinked="1"/>
        <c:majorTickMark val="out"/>
        <c:minorTickMark val="none"/>
        <c:tickLblPos val="nextTo"/>
        <c:crossAx val="1360776288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89807</xdr:rowOff>
    </xdr:from>
    <xdr:to>
      <xdr:col>7</xdr:col>
      <xdr:colOff>1028700</xdr:colOff>
      <xdr:row>38</xdr:row>
      <xdr:rowOff>31297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485775</xdr:colOff>
      <xdr:row>1</xdr:row>
      <xdr:rowOff>87630</xdr:rowOff>
    </xdr:from>
    <xdr:to>
      <xdr:col>13</xdr:col>
      <xdr:colOff>748665</xdr:colOff>
      <xdr:row>11</xdr:row>
      <xdr:rowOff>161925</xdr:rowOff>
    </xdr:to>
    <xdr:pic>
      <xdr:nvPicPr>
        <xdr:cNvPr id="2" name="Image 1" descr="Une image contenant table&#10;&#10;Description générée automatiquement">
          <a:extLst>
            <a:ext uri="{FF2B5EF4-FFF2-40B4-BE49-F238E27FC236}">
              <a16:creationId xmlns:a16="http://schemas.microsoft.com/office/drawing/2014/main" id="{C27197C5-B232-088F-9B32-022CAD99C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278130"/>
          <a:ext cx="5596890" cy="2371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3234" displayName="Tableau3234" ref="C1:F39" totalsRowShown="0" headerRowDxfId="12">
  <tableColumns count="4">
    <tableColumn id="1" xr3:uid="{00000000-0010-0000-0000-000001000000}" name="N° de compte"/>
    <tableColumn id="2" xr3:uid="{00000000-0010-0000-0000-000002000000}" name="Libellé"/>
    <tableColumn id="3" xr3:uid="{00000000-0010-0000-0000-000003000000}" name="Débit" dataDxfId="11"/>
    <tableColumn id="4" xr3:uid="{00000000-0010-0000-0000-000004000000}" name="Crédi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au323" displayName="Tableau323" ref="A1:F38" totalsRowShown="0" headerRowDxfId="10">
  <tableColumns count="6">
    <tableColumn id="1" xr3:uid="{00000000-0010-0000-0100-000001000000}" name="N° de compte" dataDxfId="9"/>
    <tableColumn id="2" xr3:uid="{00000000-0010-0000-0100-000002000000}" name="Libellé" dataDxfId="8"/>
    <tableColumn id="3" xr3:uid="{00000000-0010-0000-0100-000003000000}" name="Débit" dataDxfId="7"/>
    <tableColumn id="4" xr3:uid="{00000000-0010-0000-0100-000004000000}" name="Crédit" dataDxfId="6"/>
    <tableColumn id="5" xr3:uid="{57FF4D36-757C-455B-A720-F114597EF6B1}" name="Colonne1"/>
    <tableColumn id="6" xr3:uid="{8FCCC311-086A-4C71-92BD-D5D0F54BE9DE}" name="Colonne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au3233" displayName="Tableau3233" ref="A1:D2" totalsRowShown="0" headerRowDxfId="5" dataDxfId="4">
  <tableColumns count="4">
    <tableColumn id="1" xr3:uid="{00000000-0010-0000-0200-000001000000}" name="N° de compte" dataDxfId="3"/>
    <tableColumn id="2" xr3:uid="{00000000-0010-0000-0200-000002000000}" name="Libellé" dataDxfId="2"/>
    <tableColumn id="3" xr3:uid="{00000000-0010-0000-0200-000003000000}" name="Débit" dataDxfId="1"/>
    <tableColumn id="4" xr3:uid="{00000000-0010-0000-0200-000004000000}" name="Crédi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opLeftCell="A43" workbookViewId="0">
      <selection activeCell="E44" sqref="E44"/>
    </sheetView>
  </sheetViews>
  <sheetFormatPr baseColWidth="10" defaultRowHeight="15" x14ac:dyDescent="0.25"/>
  <cols>
    <col min="3" max="3" width="13.28515625" customWidth="1"/>
    <col min="4" max="4" width="50.7109375" customWidth="1"/>
    <col min="5" max="5" width="15.5703125" customWidth="1"/>
    <col min="6" max="6" width="19.28515625" customWidth="1"/>
  </cols>
  <sheetData>
    <row r="1" spans="1:6" x14ac:dyDescent="0.25">
      <c r="A1" s="94" t="s">
        <v>144</v>
      </c>
      <c r="B1" s="94" t="s">
        <v>145</v>
      </c>
      <c r="C1" s="95" t="s">
        <v>42</v>
      </c>
      <c r="D1" s="95" t="s">
        <v>43</v>
      </c>
      <c r="E1" s="95" t="s">
        <v>40</v>
      </c>
      <c r="F1" s="95" t="s">
        <v>41</v>
      </c>
    </row>
    <row r="2" spans="1:6" x14ac:dyDescent="0.25">
      <c r="A2">
        <f>30</f>
        <v>30</v>
      </c>
      <c r="B2">
        <f>1</f>
        <v>1</v>
      </c>
      <c r="C2">
        <v>10100000</v>
      </c>
      <c r="D2" s="96" t="s">
        <v>0</v>
      </c>
      <c r="E2" s="1"/>
      <c r="F2" s="1">
        <v>650000</v>
      </c>
    </row>
    <row r="3" spans="1:6" x14ac:dyDescent="0.25">
      <c r="A3">
        <f>A$2</f>
        <v>30</v>
      </c>
      <c r="B3">
        <f>B$2</f>
        <v>1</v>
      </c>
      <c r="C3">
        <v>10611000</v>
      </c>
      <c r="D3" s="96" t="s">
        <v>1</v>
      </c>
      <c r="E3" s="1"/>
      <c r="F3" s="1">
        <v>65000</v>
      </c>
    </row>
    <row r="4" spans="1:6" x14ac:dyDescent="0.25">
      <c r="A4">
        <f t="shared" ref="A4:B63" si="0">A$2</f>
        <v>30</v>
      </c>
      <c r="B4">
        <f t="shared" si="0"/>
        <v>1</v>
      </c>
      <c r="C4">
        <v>10688000</v>
      </c>
      <c r="D4" s="96" t="s">
        <v>2</v>
      </c>
      <c r="E4" s="1"/>
      <c r="F4" s="1">
        <v>164902.60999999999</v>
      </c>
    </row>
    <row r="5" spans="1:6" x14ac:dyDescent="0.25">
      <c r="A5">
        <f t="shared" si="0"/>
        <v>30</v>
      </c>
      <c r="B5">
        <f t="shared" si="0"/>
        <v>1</v>
      </c>
      <c r="C5">
        <v>12000000</v>
      </c>
      <c r="D5" s="96" t="s">
        <v>146</v>
      </c>
      <c r="E5" s="1"/>
      <c r="F5" s="1">
        <v>33124</v>
      </c>
    </row>
    <row r="6" spans="1:6" x14ac:dyDescent="0.25">
      <c r="A6">
        <f t="shared" si="0"/>
        <v>30</v>
      </c>
      <c r="B6">
        <f t="shared" si="0"/>
        <v>1</v>
      </c>
      <c r="C6">
        <v>16420000</v>
      </c>
      <c r="D6" s="96" t="s">
        <v>3</v>
      </c>
      <c r="E6" s="1"/>
      <c r="F6" s="1">
        <f>-166353.55*(-1)</f>
        <v>166353.54999999999</v>
      </c>
    </row>
    <row r="7" spans="1:6" x14ac:dyDescent="0.25">
      <c r="A7">
        <f t="shared" si="0"/>
        <v>30</v>
      </c>
      <c r="B7">
        <f t="shared" si="0"/>
        <v>1</v>
      </c>
      <c r="C7">
        <v>20700000</v>
      </c>
      <c r="D7" s="96" t="s">
        <v>4</v>
      </c>
      <c r="E7" s="1">
        <v>962435.66</v>
      </c>
      <c r="F7">
        <f t="shared" ref="F7:F14" si="1">0*(-1)</f>
        <v>0</v>
      </c>
    </row>
    <row r="8" spans="1:6" x14ac:dyDescent="0.25">
      <c r="A8">
        <f t="shared" si="0"/>
        <v>30</v>
      </c>
      <c r="B8">
        <f t="shared" si="0"/>
        <v>1</v>
      </c>
      <c r="C8">
        <v>20810000</v>
      </c>
      <c r="D8" s="96" t="s">
        <v>5</v>
      </c>
      <c r="E8" s="1">
        <v>303.37</v>
      </c>
      <c r="F8">
        <f t="shared" si="1"/>
        <v>0</v>
      </c>
    </row>
    <row r="9" spans="1:6" x14ac:dyDescent="0.25">
      <c r="A9">
        <f t="shared" si="0"/>
        <v>30</v>
      </c>
      <c r="B9">
        <f t="shared" si="0"/>
        <v>1</v>
      </c>
      <c r="C9">
        <v>21540000</v>
      </c>
      <c r="D9" s="96" t="s">
        <v>6</v>
      </c>
      <c r="E9" s="1">
        <v>33071.24</v>
      </c>
      <c r="F9">
        <f t="shared" si="1"/>
        <v>0</v>
      </c>
    </row>
    <row r="10" spans="1:6" x14ac:dyDescent="0.25">
      <c r="A10">
        <f t="shared" si="0"/>
        <v>30</v>
      </c>
      <c r="B10">
        <f t="shared" si="0"/>
        <v>1</v>
      </c>
      <c r="C10">
        <v>21810000</v>
      </c>
      <c r="D10" s="96" t="s">
        <v>7</v>
      </c>
      <c r="E10" s="1">
        <v>404614.09</v>
      </c>
      <c r="F10">
        <f t="shared" si="1"/>
        <v>0</v>
      </c>
    </row>
    <row r="11" spans="1:6" x14ac:dyDescent="0.25">
      <c r="A11">
        <f t="shared" si="0"/>
        <v>30</v>
      </c>
      <c r="B11">
        <f t="shared" si="0"/>
        <v>1</v>
      </c>
      <c r="C11">
        <v>21815000</v>
      </c>
      <c r="D11" s="96" t="s">
        <v>8</v>
      </c>
      <c r="E11" s="1">
        <v>44023.57</v>
      </c>
      <c r="F11">
        <f t="shared" si="1"/>
        <v>0</v>
      </c>
    </row>
    <row r="12" spans="1:6" x14ac:dyDescent="0.25">
      <c r="A12">
        <f t="shared" si="0"/>
        <v>30</v>
      </c>
      <c r="B12">
        <f t="shared" si="0"/>
        <v>1</v>
      </c>
      <c r="C12">
        <v>21830000</v>
      </c>
      <c r="D12" s="96" t="s">
        <v>9</v>
      </c>
      <c r="E12" s="1">
        <v>6808.2</v>
      </c>
      <c r="F12">
        <f t="shared" si="1"/>
        <v>0</v>
      </c>
    </row>
    <row r="13" spans="1:6" x14ac:dyDescent="0.25">
      <c r="A13">
        <f t="shared" si="0"/>
        <v>30</v>
      </c>
      <c r="B13">
        <f t="shared" si="0"/>
        <v>1</v>
      </c>
      <c r="C13">
        <v>21840000</v>
      </c>
      <c r="D13" s="96" t="s">
        <v>10</v>
      </c>
      <c r="E13" s="1">
        <v>1194.82</v>
      </c>
      <c r="F13">
        <f t="shared" si="1"/>
        <v>0</v>
      </c>
    </row>
    <row r="14" spans="1:6" x14ac:dyDescent="0.25">
      <c r="A14">
        <f t="shared" si="0"/>
        <v>30</v>
      </c>
      <c r="B14">
        <f t="shared" si="0"/>
        <v>1</v>
      </c>
      <c r="C14">
        <v>23850000</v>
      </c>
      <c r="D14" s="96" t="s">
        <v>11</v>
      </c>
      <c r="E14" s="1">
        <v>1753.33</v>
      </c>
      <c r="F14">
        <f t="shared" si="1"/>
        <v>0</v>
      </c>
    </row>
    <row r="15" spans="1:6" x14ac:dyDescent="0.25">
      <c r="A15">
        <f t="shared" si="0"/>
        <v>30</v>
      </c>
      <c r="B15">
        <f t="shared" si="0"/>
        <v>1</v>
      </c>
      <c r="C15">
        <v>28081000</v>
      </c>
      <c r="D15" s="96" t="s">
        <v>12</v>
      </c>
      <c r="E15" s="1"/>
      <c r="F15" s="1">
        <f>-303.28*(-1)</f>
        <v>303.27999999999997</v>
      </c>
    </row>
    <row r="16" spans="1:6" x14ac:dyDescent="0.25">
      <c r="A16">
        <f t="shared" si="0"/>
        <v>30</v>
      </c>
      <c r="B16">
        <f t="shared" si="0"/>
        <v>1</v>
      </c>
      <c r="C16">
        <v>28154000</v>
      </c>
      <c r="D16" s="96" t="s">
        <v>13</v>
      </c>
      <c r="E16" s="1"/>
      <c r="F16" s="1">
        <f>-21539.18*(-1)</f>
        <v>21539.18</v>
      </c>
    </row>
    <row r="17" spans="1:6" x14ac:dyDescent="0.25">
      <c r="A17">
        <f t="shared" si="0"/>
        <v>30</v>
      </c>
      <c r="B17">
        <f t="shared" si="0"/>
        <v>1</v>
      </c>
      <c r="C17">
        <v>28181000</v>
      </c>
      <c r="D17" s="96" t="s">
        <v>14</v>
      </c>
      <c r="E17" s="1"/>
      <c r="F17" s="1">
        <f>-157251.99*(-1)</f>
        <v>157251.99</v>
      </c>
    </row>
    <row r="18" spans="1:6" x14ac:dyDescent="0.25">
      <c r="A18">
        <f t="shared" si="0"/>
        <v>30</v>
      </c>
      <c r="B18">
        <f t="shared" si="0"/>
        <v>1</v>
      </c>
      <c r="C18">
        <v>28181500</v>
      </c>
      <c r="D18" s="96" t="s">
        <v>15</v>
      </c>
      <c r="E18" s="1"/>
      <c r="F18" s="1">
        <f>-40848.02*(-1)</f>
        <v>40848.019999999997</v>
      </c>
    </row>
    <row r="19" spans="1:6" x14ac:dyDescent="0.25">
      <c r="A19">
        <f t="shared" si="0"/>
        <v>30</v>
      </c>
      <c r="B19">
        <f t="shared" si="0"/>
        <v>1</v>
      </c>
      <c r="C19">
        <v>28183000</v>
      </c>
      <c r="D19" s="96" t="s">
        <v>16</v>
      </c>
      <c r="E19" s="1"/>
      <c r="F19" s="1">
        <f>-6808.2*(-1)</f>
        <v>6808.2</v>
      </c>
    </row>
    <row r="20" spans="1:6" x14ac:dyDescent="0.25">
      <c r="A20">
        <f t="shared" si="0"/>
        <v>30</v>
      </c>
      <c r="B20">
        <f t="shared" si="0"/>
        <v>1</v>
      </c>
      <c r="C20">
        <v>28184000</v>
      </c>
      <c r="D20" s="96" t="s">
        <v>17</v>
      </c>
      <c r="E20" s="1"/>
      <c r="F20" s="1">
        <f>-398.93*(-1)</f>
        <v>398.93</v>
      </c>
    </row>
    <row r="21" spans="1:6" x14ac:dyDescent="0.25">
      <c r="A21">
        <f t="shared" si="0"/>
        <v>30</v>
      </c>
      <c r="B21">
        <f t="shared" si="0"/>
        <v>1</v>
      </c>
      <c r="C21">
        <v>29070000</v>
      </c>
      <c r="D21" s="96" t="s">
        <v>18</v>
      </c>
      <c r="E21" s="1"/>
      <c r="F21" s="1">
        <f>-100000*(-1)</f>
        <v>100000</v>
      </c>
    </row>
    <row r="22" spans="1:6" x14ac:dyDescent="0.25">
      <c r="A22">
        <f t="shared" si="0"/>
        <v>30</v>
      </c>
      <c r="B22">
        <f t="shared" si="0"/>
        <v>1</v>
      </c>
      <c r="C22">
        <v>32000000</v>
      </c>
      <c r="D22" s="96" t="s">
        <v>19</v>
      </c>
      <c r="E22" s="1">
        <v>2118.9899999999998</v>
      </c>
      <c r="F22">
        <f>0*(-1)</f>
        <v>0</v>
      </c>
    </row>
    <row r="23" spans="1:6" x14ac:dyDescent="0.25">
      <c r="A23">
        <f t="shared" si="0"/>
        <v>30</v>
      </c>
      <c r="B23">
        <f t="shared" si="0"/>
        <v>1</v>
      </c>
      <c r="C23">
        <v>40110000</v>
      </c>
      <c r="D23" s="96" t="s">
        <v>20</v>
      </c>
      <c r="E23" s="1"/>
      <c r="F23" s="1">
        <f>-14609.31*(-1)</f>
        <v>14609.31</v>
      </c>
    </row>
    <row r="24" spans="1:6" x14ac:dyDescent="0.25">
      <c r="A24">
        <f t="shared" si="0"/>
        <v>30</v>
      </c>
      <c r="B24">
        <f t="shared" si="0"/>
        <v>1</v>
      </c>
      <c r="C24">
        <v>40410000</v>
      </c>
      <c r="D24" s="96" t="s">
        <v>21</v>
      </c>
      <c r="E24" s="1"/>
      <c r="F24" s="1">
        <f>0*(-1)</f>
        <v>0</v>
      </c>
    </row>
    <row r="25" spans="1:6" x14ac:dyDescent="0.25">
      <c r="A25">
        <f t="shared" si="0"/>
        <v>30</v>
      </c>
      <c r="B25">
        <f t="shared" si="0"/>
        <v>1</v>
      </c>
      <c r="C25">
        <v>41110000</v>
      </c>
      <c r="D25" s="96" t="s">
        <v>22</v>
      </c>
      <c r="E25" s="1">
        <v>0</v>
      </c>
      <c r="F25">
        <f>0*(-1)</f>
        <v>0</v>
      </c>
    </row>
    <row r="26" spans="1:6" x14ac:dyDescent="0.25">
      <c r="A26">
        <f t="shared" si="0"/>
        <v>30</v>
      </c>
      <c r="B26">
        <f t="shared" si="0"/>
        <v>1</v>
      </c>
      <c r="C26">
        <v>41910000</v>
      </c>
      <c r="D26" s="96" t="s">
        <v>23</v>
      </c>
      <c r="E26" s="1">
        <v>0</v>
      </c>
      <c r="F26">
        <f>0*(-1)</f>
        <v>0</v>
      </c>
    </row>
    <row r="27" spans="1:6" x14ac:dyDescent="0.25">
      <c r="A27">
        <f t="shared" si="0"/>
        <v>30</v>
      </c>
      <c r="B27">
        <f t="shared" si="0"/>
        <v>1</v>
      </c>
      <c r="C27">
        <v>41960000</v>
      </c>
      <c r="D27" s="96" t="s">
        <v>24</v>
      </c>
      <c r="E27" s="1">
        <v>0</v>
      </c>
      <c r="F27">
        <f>0*(-1)</f>
        <v>0</v>
      </c>
    </row>
    <row r="28" spans="1:6" x14ac:dyDescent="0.25">
      <c r="A28">
        <f t="shared" si="0"/>
        <v>30</v>
      </c>
      <c r="B28">
        <f t="shared" si="0"/>
        <v>1</v>
      </c>
      <c r="C28">
        <v>42100000</v>
      </c>
      <c r="D28" s="96" t="s">
        <v>25</v>
      </c>
      <c r="E28" s="1"/>
      <c r="F28">
        <v>27553.95</v>
      </c>
    </row>
    <row r="29" spans="1:6" x14ac:dyDescent="0.25">
      <c r="A29">
        <f t="shared" si="0"/>
        <v>30</v>
      </c>
      <c r="B29">
        <f t="shared" si="0"/>
        <v>1</v>
      </c>
      <c r="C29">
        <v>43100000</v>
      </c>
      <c r="D29" s="96" t="s">
        <v>26</v>
      </c>
      <c r="E29" s="1"/>
      <c r="F29" s="1">
        <v>12345.62</v>
      </c>
    </row>
    <row r="30" spans="1:6" x14ac:dyDescent="0.25">
      <c r="A30">
        <f t="shared" si="0"/>
        <v>30</v>
      </c>
      <c r="B30">
        <f t="shared" si="0"/>
        <v>1</v>
      </c>
      <c r="C30">
        <v>43710000</v>
      </c>
      <c r="D30" s="96" t="s">
        <v>27</v>
      </c>
      <c r="E30" s="1"/>
      <c r="F30" s="1">
        <f>-11534.47*(-1)</f>
        <v>11534.47</v>
      </c>
    </row>
    <row r="31" spans="1:6" x14ac:dyDescent="0.25">
      <c r="A31">
        <f t="shared" si="0"/>
        <v>30</v>
      </c>
      <c r="B31">
        <f t="shared" si="0"/>
        <v>1</v>
      </c>
      <c r="C31">
        <v>44210000</v>
      </c>
      <c r="D31" s="96" t="s">
        <v>28</v>
      </c>
      <c r="E31" s="1"/>
      <c r="F31" s="1">
        <f>-707.85*(-1)</f>
        <v>707.85</v>
      </c>
    </row>
    <row r="32" spans="1:6" x14ac:dyDescent="0.25">
      <c r="A32">
        <f t="shared" si="0"/>
        <v>30</v>
      </c>
      <c r="B32">
        <f t="shared" si="0"/>
        <v>1</v>
      </c>
      <c r="C32">
        <v>44566100</v>
      </c>
      <c r="D32" s="96" t="s">
        <v>29</v>
      </c>
      <c r="E32" s="1">
        <v>1104.8699999999999</v>
      </c>
    </row>
    <row r="33" spans="1:8" x14ac:dyDescent="0.25">
      <c r="A33">
        <f t="shared" si="0"/>
        <v>30</v>
      </c>
      <c r="B33">
        <f t="shared" si="0"/>
        <v>1</v>
      </c>
      <c r="C33">
        <v>44566200</v>
      </c>
      <c r="D33" s="96" t="s">
        <v>30</v>
      </c>
      <c r="E33" s="1">
        <v>2333.36</v>
      </c>
    </row>
    <row r="34" spans="1:8" x14ac:dyDescent="0.25">
      <c r="A34">
        <f t="shared" si="0"/>
        <v>30</v>
      </c>
      <c r="B34">
        <f t="shared" si="0"/>
        <v>1</v>
      </c>
      <c r="C34">
        <v>44570100</v>
      </c>
      <c r="D34" s="96" t="s">
        <v>31</v>
      </c>
      <c r="E34" s="1"/>
      <c r="F34" s="1">
        <v>9727.6</v>
      </c>
    </row>
    <row r="35" spans="1:8" x14ac:dyDescent="0.25">
      <c r="A35">
        <f t="shared" si="0"/>
        <v>30</v>
      </c>
      <c r="B35">
        <f t="shared" si="0"/>
        <v>1</v>
      </c>
      <c r="C35">
        <v>44570200</v>
      </c>
      <c r="D35" s="96" t="s">
        <v>32</v>
      </c>
      <c r="E35" s="1"/>
      <c r="F35" s="1">
        <v>256.60000000000002</v>
      </c>
    </row>
    <row r="36" spans="1:8" x14ac:dyDescent="0.25">
      <c r="A36">
        <f t="shared" si="0"/>
        <v>30</v>
      </c>
      <c r="B36">
        <f t="shared" si="0"/>
        <v>1</v>
      </c>
      <c r="C36">
        <v>51130000</v>
      </c>
      <c r="D36" s="96" t="s">
        <v>33</v>
      </c>
      <c r="E36" s="1">
        <v>546.9</v>
      </c>
      <c r="F36">
        <f>0*(-1)</f>
        <v>0</v>
      </c>
    </row>
    <row r="37" spans="1:8" x14ac:dyDescent="0.25">
      <c r="A37">
        <f t="shared" si="0"/>
        <v>30</v>
      </c>
      <c r="B37">
        <f t="shared" si="0"/>
        <v>1</v>
      </c>
      <c r="C37">
        <v>51213000</v>
      </c>
      <c r="D37" s="96" t="s">
        <v>34</v>
      </c>
      <c r="E37" s="1">
        <v>24024.560000000001</v>
      </c>
      <c r="F37">
        <f>0*(-1)</f>
        <v>0</v>
      </c>
      <c r="H37" s="1"/>
    </row>
    <row r="38" spans="1:8" x14ac:dyDescent="0.25">
      <c r="A38">
        <f t="shared" si="0"/>
        <v>30</v>
      </c>
      <c r="B38">
        <f t="shared" si="0"/>
        <v>1</v>
      </c>
      <c r="C38">
        <v>53000000</v>
      </c>
      <c r="D38" s="96" t="s">
        <v>35</v>
      </c>
      <c r="E38" s="1">
        <v>1613.9</v>
      </c>
      <c r="F38">
        <f>0*(-1)</f>
        <v>0</v>
      </c>
    </row>
    <row r="39" spans="1:8" ht="15.75" customHeight="1" x14ac:dyDescent="0.25">
      <c r="A39">
        <f t="shared" si="0"/>
        <v>30</v>
      </c>
      <c r="B39">
        <f t="shared" si="0"/>
        <v>1</v>
      </c>
      <c r="C39">
        <v>60110000</v>
      </c>
      <c r="D39" t="s">
        <v>147</v>
      </c>
      <c r="E39" s="1">
        <v>14258.9</v>
      </c>
      <c r="F39">
        <f>0*(-1)</f>
        <v>0</v>
      </c>
    </row>
    <row r="40" spans="1:8" x14ac:dyDescent="0.25">
      <c r="A40">
        <f t="shared" si="0"/>
        <v>30</v>
      </c>
      <c r="B40">
        <f t="shared" si="0"/>
        <v>1</v>
      </c>
      <c r="C40">
        <v>60120000</v>
      </c>
      <c r="D40" t="s">
        <v>148</v>
      </c>
      <c r="E40" s="1">
        <v>1142.4000000000001</v>
      </c>
      <c r="G40" s="1"/>
    </row>
    <row r="41" spans="1:8" x14ac:dyDescent="0.25">
      <c r="A41">
        <f t="shared" si="0"/>
        <v>30</v>
      </c>
      <c r="B41">
        <f t="shared" si="0"/>
        <v>1</v>
      </c>
      <c r="C41">
        <v>60130000</v>
      </c>
      <c r="D41" t="s">
        <v>149</v>
      </c>
      <c r="E41">
        <v>4687.3999999999996</v>
      </c>
    </row>
    <row r="42" spans="1:8" x14ac:dyDescent="0.25">
      <c r="A42">
        <f t="shared" si="0"/>
        <v>30</v>
      </c>
      <c r="B42">
        <f t="shared" si="0"/>
        <v>1</v>
      </c>
      <c r="C42">
        <v>60140000</v>
      </c>
      <c r="D42" t="s">
        <v>150</v>
      </c>
      <c r="E42">
        <v>455.9</v>
      </c>
    </row>
    <row r="43" spans="1:8" x14ac:dyDescent="0.25">
      <c r="A43">
        <f t="shared" si="0"/>
        <v>30</v>
      </c>
      <c r="B43">
        <f t="shared" si="0"/>
        <v>1</v>
      </c>
      <c r="C43">
        <v>60220000</v>
      </c>
      <c r="D43" t="s">
        <v>151</v>
      </c>
      <c r="E43">
        <f>1078.4+608.3</f>
        <v>1686.7</v>
      </c>
    </row>
    <row r="44" spans="1:8" x14ac:dyDescent="0.25">
      <c r="A44">
        <f t="shared" si="0"/>
        <v>30</v>
      </c>
      <c r="B44">
        <f t="shared" si="0"/>
        <v>1</v>
      </c>
      <c r="C44">
        <v>60610000</v>
      </c>
      <c r="D44" t="s">
        <v>152</v>
      </c>
      <c r="E44">
        <v>6909.2</v>
      </c>
    </row>
    <row r="45" spans="1:8" x14ac:dyDescent="0.25">
      <c r="A45">
        <f t="shared" si="0"/>
        <v>30</v>
      </c>
      <c r="B45">
        <f t="shared" si="0"/>
        <v>1</v>
      </c>
      <c r="C45">
        <v>60630000</v>
      </c>
      <c r="D45" t="s">
        <v>153</v>
      </c>
      <c r="E45">
        <f>892.2+77.3</f>
        <v>969.5</v>
      </c>
    </row>
    <row r="46" spans="1:8" x14ac:dyDescent="0.25">
      <c r="A46">
        <f t="shared" si="0"/>
        <v>30</v>
      </c>
      <c r="B46">
        <f t="shared" si="0"/>
        <v>1</v>
      </c>
      <c r="C46">
        <v>60640000</v>
      </c>
      <c r="D46" t="s">
        <v>154</v>
      </c>
      <c r="E46">
        <v>98.4</v>
      </c>
    </row>
    <row r="47" spans="1:8" x14ac:dyDescent="0.25">
      <c r="A47">
        <f t="shared" si="0"/>
        <v>30</v>
      </c>
      <c r="B47">
        <f t="shared" si="0"/>
        <v>1</v>
      </c>
      <c r="C47">
        <v>61500000</v>
      </c>
      <c r="D47" t="s">
        <v>90</v>
      </c>
      <c r="E47">
        <v>548.79999999999995</v>
      </c>
    </row>
    <row r="48" spans="1:8" x14ac:dyDescent="0.25">
      <c r="A48">
        <f t="shared" si="0"/>
        <v>30</v>
      </c>
      <c r="B48">
        <f t="shared" si="0"/>
        <v>1</v>
      </c>
      <c r="C48">
        <v>61600000</v>
      </c>
      <c r="D48" s="97" t="s">
        <v>36</v>
      </c>
      <c r="E48">
        <v>457.3</v>
      </c>
    </row>
    <row r="49" spans="1:6" x14ac:dyDescent="0.25">
      <c r="A49">
        <f t="shared" si="0"/>
        <v>30</v>
      </c>
      <c r="B49">
        <f t="shared" si="0"/>
        <v>1</v>
      </c>
      <c r="C49">
        <v>62100000</v>
      </c>
      <c r="D49" t="s">
        <v>155</v>
      </c>
      <c r="E49">
        <v>914</v>
      </c>
    </row>
    <row r="50" spans="1:6" x14ac:dyDescent="0.25">
      <c r="A50">
        <f t="shared" si="0"/>
        <v>30</v>
      </c>
      <c r="B50">
        <f t="shared" si="0"/>
        <v>1</v>
      </c>
      <c r="C50">
        <v>62300000</v>
      </c>
      <c r="D50" s="98" t="s">
        <v>37</v>
      </c>
      <c r="E50">
        <v>84.3</v>
      </c>
    </row>
    <row r="51" spans="1:6" x14ac:dyDescent="0.25">
      <c r="A51">
        <f t="shared" si="0"/>
        <v>30</v>
      </c>
      <c r="B51">
        <f t="shared" si="0"/>
        <v>1</v>
      </c>
      <c r="C51">
        <v>62600000</v>
      </c>
      <c r="D51" t="s">
        <v>156</v>
      </c>
      <c r="E51">
        <v>914.6</v>
      </c>
    </row>
    <row r="52" spans="1:6" x14ac:dyDescent="0.25">
      <c r="A52">
        <f t="shared" si="0"/>
        <v>30</v>
      </c>
      <c r="B52">
        <f t="shared" si="0"/>
        <v>1</v>
      </c>
      <c r="C52">
        <v>63100000</v>
      </c>
      <c r="D52" t="s">
        <v>157</v>
      </c>
      <c r="E52">
        <v>1653.26</v>
      </c>
    </row>
    <row r="53" spans="1:6" x14ac:dyDescent="0.25">
      <c r="A53">
        <f t="shared" si="0"/>
        <v>30</v>
      </c>
      <c r="B53">
        <f t="shared" si="0"/>
        <v>1</v>
      </c>
      <c r="C53">
        <v>63500000</v>
      </c>
      <c r="D53" t="s">
        <v>158</v>
      </c>
      <c r="E53">
        <v>733.5</v>
      </c>
    </row>
    <row r="54" spans="1:6" x14ac:dyDescent="0.25">
      <c r="A54">
        <f t="shared" si="0"/>
        <v>30</v>
      </c>
      <c r="B54">
        <f t="shared" si="0"/>
        <v>1</v>
      </c>
      <c r="C54">
        <v>64100000</v>
      </c>
      <c r="D54" s="98" t="s">
        <v>38</v>
      </c>
      <c r="E54">
        <v>36738.6</v>
      </c>
    </row>
    <row r="55" spans="1:6" x14ac:dyDescent="0.25">
      <c r="A55">
        <f t="shared" si="0"/>
        <v>30</v>
      </c>
      <c r="B55">
        <f t="shared" si="0"/>
        <v>1</v>
      </c>
      <c r="C55">
        <v>64500000</v>
      </c>
      <c r="D55" t="s">
        <v>159</v>
      </c>
      <c r="E55">
        <v>14695.44</v>
      </c>
    </row>
    <row r="56" spans="1:6" x14ac:dyDescent="0.25">
      <c r="A56">
        <f t="shared" si="0"/>
        <v>30</v>
      </c>
      <c r="B56">
        <f t="shared" si="0"/>
        <v>1</v>
      </c>
      <c r="C56">
        <v>66100000</v>
      </c>
      <c r="D56" s="97" t="s">
        <v>39</v>
      </c>
      <c r="E56">
        <v>225</v>
      </c>
    </row>
    <row r="57" spans="1:6" x14ac:dyDescent="0.25">
      <c r="A57">
        <f t="shared" si="0"/>
        <v>30</v>
      </c>
      <c r="B57">
        <f t="shared" si="0"/>
        <v>1</v>
      </c>
      <c r="C57">
        <v>68110000</v>
      </c>
      <c r="D57" t="s">
        <v>160</v>
      </c>
      <c r="E57">
        <v>8704.1</v>
      </c>
    </row>
    <row r="58" spans="1:6" x14ac:dyDescent="0.25">
      <c r="A58">
        <f t="shared" si="0"/>
        <v>30</v>
      </c>
      <c r="B58">
        <f t="shared" si="0"/>
        <v>1</v>
      </c>
      <c r="C58">
        <v>70610000</v>
      </c>
      <c r="D58" t="s">
        <v>161</v>
      </c>
      <c r="F58">
        <v>15236</v>
      </c>
    </row>
    <row r="59" spans="1:6" x14ac:dyDescent="0.25">
      <c r="A59">
        <f t="shared" si="0"/>
        <v>30</v>
      </c>
      <c r="B59">
        <f t="shared" si="0"/>
        <v>1</v>
      </c>
      <c r="C59">
        <v>70620000</v>
      </c>
      <c r="D59" t="s">
        <v>162</v>
      </c>
      <c r="F59">
        <v>21240</v>
      </c>
    </row>
    <row r="60" spans="1:6" x14ac:dyDescent="0.25">
      <c r="A60">
        <f t="shared" si="0"/>
        <v>30</v>
      </c>
      <c r="B60">
        <f t="shared" si="0"/>
        <v>1</v>
      </c>
      <c r="C60">
        <v>70630000</v>
      </c>
      <c r="D60" t="s">
        <v>163</v>
      </c>
      <c r="F60">
        <v>2646</v>
      </c>
    </row>
    <row r="61" spans="1:6" x14ac:dyDescent="0.25">
      <c r="A61">
        <f t="shared" si="0"/>
        <v>30</v>
      </c>
      <c r="B61">
        <f t="shared" si="0"/>
        <v>1</v>
      </c>
      <c r="C61">
        <v>70640000</v>
      </c>
      <c r="D61" t="s">
        <v>164</v>
      </c>
      <c r="F61">
        <v>58154</v>
      </c>
    </row>
    <row r="62" spans="1:6" x14ac:dyDescent="0.25">
      <c r="A62">
        <f t="shared" si="0"/>
        <v>30</v>
      </c>
      <c r="B62">
        <f t="shared" si="0"/>
        <v>1</v>
      </c>
      <c r="C62">
        <v>70650000</v>
      </c>
      <c r="D62" t="s">
        <v>165</v>
      </c>
      <c r="F62">
        <v>814.5</v>
      </c>
    </row>
    <row r="63" spans="1:6" x14ac:dyDescent="0.25">
      <c r="A63">
        <f t="shared" si="0"/>
        <v>30</v>
      </c>
      <c r="B63">
        <f t="shared" si="0"/>
        <v>1</v>
      </c>
      <c r="C63">
        <v>70850000</v>
      </c>
      <c r="D63" t="s">
        <v>166</v>
      </c>
      <c r="F63">
        <v>468.5</v>
      </c>
    </row>
    <row r="64" spans="1:6" x14ac:dyDescent="0.25">
      <c r="E64" s="1">
        <f>SUM(E2:E63)</f>
        <v>1581824.1600000001</v>
      </c>
      <c r="F64" s="1">
        <f>SUM(F2:F63)</f>
        <v>1581824.1600000001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2112F-4607-4633-B626-DCA500AE4FDD}">
  <dimension ref="A1:G90"/>
  <sheetViews>
    <sheetView tabSelected="1" topLeftCell="B13" zoomScale="220" zoomScaleNormal="220" workbookViewId="0">
      <selection activeCell="E9" sqref="E9"/>
    </sheetView>
  </sheetViews>
  <sheetFormatPr baseColWidth="10" defaultRowHeight="15" x14ac:dyDescent="0.25"/>
  <cols>
    <col min="2" max="2" width="17.42578125" customWidth="1"/>
    <col min="3" max="3" width="28.7109375" customWidth="1"/>
    <col min="4" max="4" width="45.7109375" customWidth="1"/>
    <col min="5" max="5" width="9.7109375" customWidth="1"/>
  </cols>
  <sheetData>
    <row r="1" spans="1:6" ht="15.75" x14ac:dyDescent="0.25">
      <c r="A1" s="223" t="s">
        <v>236</v>
      </c>
      <c r="B1" s="223"/>
      <c r="C1" s="223"/>
      <c r="D1" s="223"/>
      <c r="E1" s="223"/>
    </row>
    <row r="2" spans="1:6" ht="15.75" x14ac:dyDescent="0.25">
      <c r="B2" s="222" t="s">
        <v>235</v>
      </c>
      <c r="C2" s="222"/>
      <c r="D2" s="222"/>
      <c r="E2" s="222"/>
    </row>
    <row r="3" spans="1:6" ht="30" x14ac:dyDescent="0.25">
      <c r="B3" s="3" t="s">
        <v>225</v>
      </c>
      <c r="C3" s="3" t="s">
        <v>254</v>
      </c>
      <c r="D3" s="139" t="s">
        <v>255</v>
      </c>
      <c r="E3" s="15">
        <f>2820+930-2360</f>
        <v>1390</v>
      </c>
    </row>
    <row r="4" spans="1:6" ht="30" x14ac:dyDescent="0.25">
      <c r="B4" s="3" t="s">
        <v>225</v>
      </c>
      <c r="C4" s="3" t="s">
        <v>229</v>
      </c>
      <c r="D4" s="139" t="s">
        <v>245</v>
      </c>
      <c r="E4" s="15">
        <f>15*1.25*1.32*52</f>
        <v>1287</v>
      </c>
    </row>
    <row r="5" spans="1:6" x14ac:dyDescent="0.25">
      <c r="B5" s="3" t="s">
        <v>227</v>
      </c>
      <c r="C5" s="3" t="s">
        <v>231</v>
      </c>
      <c r="D5" s="3" t="s">
        <v>232</v>
      </c>
      <c r="E5" s="15">
        <f>969.5*20%/12</f>
        <v>16.158333333333335</v>
      </c>
    </row>
    <row r="6" spans="1:6" x14ac:dyDescent="0.25">
      <c r="B6" s="3" t="s">
        <v>226</v>
      </c>
      <c r="C6" s="3" t="s">
        <v>244</v>
      </c>
      <c r="D6" s="3" t="s">
        <v>230</v>
      </c>
      <c r="E6" s="15">
        <v>200</v>
      </c>
    </row>
    <row r="7" spans="1:6" x14ac:dyDescent="0.25">
      <c r="B7" s="224" t="s">
        <v>247</v>
      </c>
      <c r="C7" s="225"/>
      <c r="D7" s="226"/>
      <c r="E7" s="141">
        <f>SUM(E3:E6)</f>
        <v>2893.1583333333333</v>
      </c>
    </row>
    <row r="8" spans="1:6" x14ac:dyDescent="0.25">
      <c r="B8" s="3" t="s">
        <v>228</v>
      </c>
      <c r="C8" s="3" t="s">
        <v>233</v>
      </c>
      <c r="D8" s="3" t="s">
        <v>234</v>
      </c>
      <c r="E8" s="15">
        <f>'Mission 1'!B23*6</f>
        <v>699.9820512820512</v>
      </c>
    </row>
    <row r="9" spans="1:6" x14ac:dyDescent="0.25">
      <c r="B9" s="224" t="s">
        <v>248</v>
      </c>
      <c r="C9" s="225"/>
      <c r="D9" s="226"/>
      <c r="E9" s="141">
        <f>+E8</f>
        <v>699.9820512820512</v>
      </c>
    </row>
    <row r="10" spans="1:6" x14ac:dyDescent="0.25">
      <c r="D10" s="142" t="s">
        <v>235</v>
      </c>
      <c r="E10" s="143">
        <f>+E9+E7</f>
        <v>3593.1403846153844</v>
      </c>
    </row>
    <row r="11" spans="1:6" x14ac:dyDescent="0.25">
      <c r="C11">
        <f>969.5/12</f>
        <v>80.791666666666671</v>
      </c>
    </row>
    <row r="13" spans="1:6" ht="15.75" x14ac:dyDescent="0.25">
      <c r="A13" s="223" t="s">
        <v>237</v>
      </c>
      <c r="B13" s="223"/>
      <c r="C13" s="223"/>
      <c r="D13" s="223"/>
      <c r="E13" s="223"/>
    </row>
    <row r="14" spans="1:6" x14ac:dyDescent="0.25">
      <c r="F14" t="s">
        <v>268</v>
      </c>
    </row>
    <row r="15" spans="1:6" x14ac:dyDescent="0.25">
      <c r="C15" s="3" t="s">
        <v>238</v>
      </c>
      <c r="D15" s="3" t="s">
        <v>240</v>
      </c>
      <c r="E15" s="15">
        <f>1800/2*20%</f>
        <v>180</v>
      </c>
      <c r="F15" s="243">
        <f>+E15*1.32</f>
        <v>237.60000000000002</v>
      </c>
    </row>
    <row r="16" spans="1:6" x14ac:dyDescent="0.25">
      <c r="C16" s="3" t="s">
        <v>239</v>
      </c>
      <c r="D16" s="3" t="s">
        <v>240</v>
      </c>
      <c r="E16" s="15">
        <f>1800/2*20%</f>
        <v>180</v>
      </c>
      <c r="F16" s="243">
        <f>+E16*1.32</f>
        <v>237.60000000000002</v>
      </c>
    </row>
    <row r="17" spans="3:7" x14ac:dyDescent="0.25">
      <c r="C17" s="3" t="s">
        <v>243</v>
      </c>
      <c r="D17" s="3" t="s">
        <v>265</v>
      </c>
      <c r="E17" s="15">
        <f>30*15*1.25</f>
        <v>562.5</v>
      </c>
      <c r="F17" s="243">
        <f>+E17*1.32</f>
        <v>742.5</v>
      </c>
    </row>
    <row r="18" spans="3:7" x14ac:dyDescent="0.25">
      <c r="C18" s="3" t="s">
        <v>241</v>
      </c>
      <c r="D18" s="3" t="s">
        <v>242</v>
      </c>
      <c r="E18" s="15">
        <f>7*200</f>
        <v>1400</v>
      </c>
      <c r="F18" s="243">
        <f>+E18*1.32</f>
        <v>1848</v>
      </c>
    </row>
    <row r="19" spans="3:7" x14ac:dyDescent="0.25">
      <c r="C19" s="3" t="s">
        <v>246</v>
      </c>
      <c r="D19" s="3" t="s">
        <v>266</v>
      </c>
      <c r="E19" s="15">
        <f>SUM(E15:E18)*0.32</f>
        <v>743.2</v>
      </c>
      <c r="F19" s="243"/>
    </row>
    <row r="20" spans="3:7" x14ac:dyDescent="0.25">
      <c r="C20" s="217" t="s">
        <v>249</v>
      </c>
      <c r="D20" s="218"/>
      <c r="E20" s="144">
        <f>SUM(E15:E19)</f>
        <v>3065.7</v>
      </c>
      <c r="F20" s="144">
        <f>SUM(F15:F19)</f>
        <v>3065.7</v>
      </c>
    </row>
    <row r="21" spans="3:7" ht="14.45" customHeight="1" x14ac:dyDescent="0.25">
      <c r="C21" s="219" t="s">
        <v>252</v>
      </c>
      <c r="D21" s="219"/>
      <c r="E21" s="145">
        <v>800</v>
      </c>
    </row>
    <row r="22" spans="3:7" ht="15.75" thickBot="1" x14ac:dyDescent="0.3">
      <c r="C22" s="146" t="s">
        <v>251</v>
      </c>
      <c r="D22" s="147" t="s">
        <v>253</v>
      </c>
      <c r="E22" s="145">
        <v>500</v>
      </c>
    </row>
    <row r="23" spans="3:7" x14ac:dyDescent="0.25">
      <c r="C23" s="220" t="s">
        <v>269</v>
      </c>
      <c r="D23" s="221"/>
      <c r="E23" s="145">
        <v>400</v>
      </c>
    </row>
    <row r="24" spans="3:7" ht="14.45" customHeight="1" x14ac:dyDescent="0.25">
      <c r="C24" s="217" t="s">
        <v>250</v>
      </c>
      <c r="D24" s="218"/>
      <c r="E24" s="144">
        <f>SUM(E21:E23)</f>
        <v>1700</v>
      </c>
    </row>
    <row r="25" spans="3:7" ht="14.45" customHeight="1" x14ac:dyDescent="0.25">
      <c r="D25" s="142" t="s">
        <v>235</v>
      </c>
      <c r="E25" s="143">
        <f>+E24+E20</f>
        <v>4765.7</v>
      </c>
    </row>
    <row r="26" spans="3:7" s="138" customFormat="1" ht="14.45" customHeight="1" x14ac:dyDescent="0.25">
      <c r="C26" s="140"/>
      <c r="D26" s="140"/>
      <c r="E26" s="140"/>
      <c r="F26" s="140"/>
      <c r="G26" s="140"/>
    </row>
    <row r="27" spans="3:7" s="138" customFormat="1" ht="14.45" customHeight="1" x14ac:dyDescent="0.25">
      <c r="C27" s="228" t="s">
        <v>264</v>
      </c>
      <c r="D27" s="228"/>
      <c r="E27" s="228"/>
      <c r="F27" s="140"/>
      <c r="G27" s="140"/>
    </row>
    <row r="28" spans="3:7" s="138" customFormat="1" ht="14.45" customHeight="1" x14ac:dyDescent="0.25">
      <c r="C28" s="229" t="str">
        <f>+B7</f>
        <v>Total du surcoût</v>
      </c>
      <c r="D28" s="230">
        <f>+E7</f>
        <v>2893.1583333333333</v>
      </c>
      <c r="E28" s="237">
        <f>+D28+D29</f>
        <v>3593.1403846153844</v>
      </c>
    </row>
    <row r="29" spans="3:7" ht="14.45" customHeight="1" x14ac:dyDescent="0.25">
      <c r="C29" s="231" t="s">
        <v>263</v>
      </c>
      <c r="D29" s="232">
        <f>+E9</f>
        <v>699.9820512820512</v>
      </c>
      <c r="E29" s="238"/>
    </row>
    <row r="30" spans="3:7" ht="14.45" customHeight="1" x14ac:dyDescent="0.25">
      <c r="C30" s="233" t="str">
        <f>+C20</f>
        <v>Coût interne du recrutement</v>
      </c>
      <c r="D30" s="234">
        <f>+E20</f>
        <v>3065.7</v>
      </c>
      <c r="E30" s="239">
        <f>+D30+D31</f>
        <v>4765.7</v>
      </c>
    </row>
    <row r="31" spans="3:7" ht="14.45" customHeight="1" x14ac:dyDescent="0.25">
      <c r="C31" s="235" t="str">
        <f>+C24</f>
        <v>Coût externe du recrutement</v>
      </c>
      <c r="D31" s="236">
        <f>+E24</f>
        <v>1700</v>
      </c>
      <c r="E31" s="240"/>
    </row>
    <row r="32" spans="3:7" ht="14.45" customHeight="1" x14ac:dyDescent="0.25">
      <c r="C32" s="241" t="s">
        <v>264</v>
      </c>
      <c r="D32" s="242"/>
      <c r="E32" s="143">
        <f>SUM(E28:E31)</f>
        <v>8358.8403846153851</v>
      </c>
    </row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  <row r="41" ht="14.45" customHeight="1" x14ac:dyDescent="0.25"/>
    <row r="42" ht="14.45" customHeight="1" x14ac:dyDescent="0.25"/>
    <row r="43" ht="14.45" customHeight="1" x14ac:dyDescent="0.25"/>
    <row r="44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</sheetData>
  <mergeCells count="10">
    <mergeCell ref="C27:E27"/>
    <mergeCell ref="C24:D24"/>
    <mergeCell ref="C21:D21"/>
    <mergeCell ref="C23:D23"/>
    <mergeCell ref="B2:E2"/>
    <mergeCell ref="A1:E1"/>
    <mergeCell ref="A13:E13"/>
    <mergeCell ref="B7:D7"/>
    <mergeCell ref="B9:D9"/>
    <mergeCell ref="C20:D20"/>
  </mergeCells>
  <pageMargins left="0.7" right="0.7" top="0.75" bottom="0.75" header="0.3" footer="0.3"/>
  <pageSetup paperSize="9" orientation="portrait" horizontalDpi="4294967292" vertic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46"/>
  <sheetViews>
    <sheetView workbookViewId="0">
      <selection activeCell="F36" sqref="F36"/>
    </sheetView>
  </sheetViews>
  <sheetFormatPr baseColWidth="10" defaultRowHeight="15" x14ac:dyDescent="0.25"/>
  <cols>
    <col min="1" max="1" width="33.7109375" customWidth="1"/>
    <col min="2" max="2" width="11.85546875" bestFit="1" customWidth="1"/>
    <col min="3" max="3" width="20" customWidth="1"/>
  </cols>
  <sheetData>
    <row r="1" spans="1:2" ht="15.75" x14ac:dyDescent="0.25">
      <c r="A1" s="196" t="s">
        <v>69</v>
      </c>
      <c r="B1" s="196"/>
    </row>
    <row r="2" spans="1:2" ht="45" customHeight="1" x14ac:dyDescent="0.25">
      <c r="A2" s="227" t="s">
        <v>138</v>
      </c>
      <c r="B2" s="227"/>
    </row>
    <row r="3" spans="1:2" ht="30.75" customHeight="1" x14ac:dyDescent="0.25">
      <c r="B3" s="67" t="s">
        <v>71</v>
      </c>
    </row>
    <row r="4" spans="1:2" x14ac:dyDescent="0.25">
      <c r="A4" s="22" t="s">
        <v>73</v>
      </c>
      <c r="B4" s="34"/>
    </row>
    <row r="5" spans="1:2" x14ac:dyDescent="0.25">
      <c r="A5" s="23" t="s">
        <v>74</v>
      </c>
      <c r="B5" s="34">
        <f>'Annexe 1'!B5</f>
        <v>10264</v>
      </c>
    </row>
    <row r="6" spans="1:2" x14ac:dyDescent="0.25">
      <c r="A6" s="23" t="s">
        <v>75</v>
      </c>
      <c r="B6" s="34"/>
    </row>
    <row r="7" spans="1:2" x14ac:dyDescent="0.25">
      <c r="A7" s="23" t="s">
        <v>76</v>
      </c>
      <c r="B7" s="34">
        <f>Résultat!D24</f>
        <v>50454</v>
      </c>
    </row>
    <row r="8" spans="1:2" x14ac:dyDescent="0.25">
      <c r="A8" s="23" t="s">
        <v>77</v>
      </c>
      <c r="B8" s="82"/>
    </row>
    <row r="9" spans="1:2" x14ac:dyDescent="0.25">
      <c r="A9" s="24" t="s">
        <v>78</v>
      </c>
      <c r="B9" s="83"/>
    </row>
    <row r="10" spans="1:2" x14ac:dyDescent="0.25">
      <c r="A10" s="25" t="s">
        <v>79</v>
      </c>
      <c r="B10" s="39">
        <f t="shared" ref="B10" si="0">SUM(B4:B9)</f>
        <v>60718</v>
      </c>
    </row>
    <row r="11" spans="1:2" x14ac:dyDescent="0.25">
      <c r="A11" s="26" t="s">
        <v>80</v>
      </c>
      <c r="B11" s="64"/>
    </row>
    <row r="12" spans="1:2" x14ac:dyDescent="0.25">
      <c r="A12" s="26" t="s">
        <v>81</v>
      </c>
      <c r="B12" s="65">
        <f>'Annexe 1'!B43</f>
        <v>1260</v>
      </c>
    </row>
    <row r="13" spans="1:2" x14ac:dyDescent="0.25">
      <c r="A13" s="3" t="s">
        <v>82</v>
      </c>
      <c r="B13" s="41">
        <f>B10/B12</f>
        <v>48.18888888888889</v>
      </c>
    </row>
    <row r="14" spans="1:2" x14ac:dyDescent="0.25">
      <c r="A14" s="197" t="s">
        <v>83</v>
      </c>
      <c r="B14" s="199"/>
    </row>
    <row r="15" spans="1:2" x14ac:dyDescent="0.25">
      <c r="A15" s="27" t="s">
        <v>84</v>
      </c>
      <c r="B15" s="43">
        <f>Tableau3233[Débit]</f>
        <v>14258.9</v>
      </c>
    </row>
    <row r="16" spans="1:2" x14ac:dyDescent="0.25">
      <c r="A16" s="28" t="s">
        <v>85</v>
      </c>
      <c r="B16" s="44">
        <f>Résultat!C4</f>
        <v>4687.3999999999996</v>
      </c>
    </row>
    <row r="17" spans="1:2" x14ac:dyDescent="0.25">
      <c r="A17" s="28" t="s">
        <v>86</v>
      </c>
      <c r="B17" s="44">
        <f>'Annexe 1'!C12</f>
        <v>608.29999999999995</v>
      </c>
    </row>
    <row r="18" spans="1:2" x14ac:dyDescent="0.25">
      <c r="A18" s="28" t="s">
        <v>87</v>
      </c>
      <c r="B18" s="44">
        <f>'Annexe 1'!C13</f>
        <v>2636.4</v>
      </c>
    </row>
    <row r="19" spans="1:2" x14ac:dyDescent="0.25">
      <c r="A19" s="29" t="s">
        <v>88</v>
      </c>
      <c r="B19" s="45">
        <f>'Annexe 1'!C14</f>
        <v>77.3</v>
      </c>
    </row>
    <row r="20" spans="1:2" x14ac:dyDescent="0.25">
      <c r="A20" s="25" t="s">
        <v>89</v>
      </c>
      <c r="B20" s="46">
        <f>SUM(B15:B19)</f>
        <v>22268.3</v>
      </c>
    </row>
    <row r="21" spans="1:2" x14ac:dyDescent="0.25">
      <c r="A21" s="25" t="s">
        <v>131</v>
      </c>
      <c r="B21" s="46">
        <f>B20/B12</f>
        <v>17.673253968253967</v>
      </c>
    </row>
    <row r="22" spans="1:2" x14ac:dyDescent="0.25">
      <c r="A22" s="25" t="s">
        <v>136</v>
      </c>
      <c r="B22" s="46">
        <f>B10-B20</f>
        <v>38449.699999999997</v>
      </c>
    </row>
    <row r="23" spans="1:2" x14ac:dyDescent="0.25">
      <c r="A23" s="25" t="s">
        <v>134</v>
      </c>
      <c r="B23" s="30">
        <f>B22/B10</f>
        <v>0.63325043644388812</v>
      </c>
    </row>
    <row r="24" spans="1:2" x14ac:dyDescent="0.25">
      <c r="A24" s="200" t="s">
        <v>132</v>
      </c>
      <c r="B24" s="201"/>
    </row>
    <row r="25" spans="1:2" x14ac:dyDescent="0.25">
      <c r="A25" s="27" t="s">
        <v>116</v>
      </c>
      <c r="B25" s="43">
        <f>'Annexe 1'!C15</f>
        <v>147.5</v>
      </c>
    </row>
    <row r="26" spans="1:2" x14ac:dyDescent="0.25">
      <c r="A26" s="28" t="s">
        <v>91</v>
      </c>
      <c r="B26" s="44">
        <f>'Annexe 1'!C16</f>
        <v>91.5</v>
      </c>
    </row>
    <row r="27" spans="1:2" x14ac:dyDescent="0.25">
      <c r="A27" s="28" t="s">
        <v>92</v>
      </c>
      <c r="B27" s="44"/>
    </row>
    <row r="28" spans="1:2" x14ac:dyDescent="0.25">
      <c r="A28" s="28" t="s">
        <v>93</v>
      </c>
      <c r="B28" s="44">
        <f>'Annexe 1'!C17</f>
        <v>91.5</v>
      </c>
    </row>
    <row r="29" spans="1:2" x14ac:dyDescent="0.25">
      <c r="A29" s="28" t="s">
        <v>94</v>
      </c>
      <c r="B29" s="44">
        <f>'Annexe 1'!C22</f>
        <v>878.1</v>
      </c>
    </row>
    <row r="30" spans="1:2" x14ac:dyDescent="0.25">
      <c r="A30" s="28" t="s">
        <v>95</v>
      </c>
      <c r="B30" s="44">
        <f>'Annexe 1'!C23</f>
        <v>20098.490000000002</v>
      </c>
    </row>
    <row r="31" spans="1:2" x14ac:dyDescent="0.25">
      <c r="A31" s="28" t="s">
        <v>96</v>
      </c>
      <c r="B31" s="44">
        <f>'Annexe 1'!C24</f>
        <v>7034.47</v>
      </c>
    </row>
    <row r="32" spans="1:2" x14ac:dyDescent="0.25">
      <c r="A32" s="29" t="s">
        <v>97</v>
      </c>
      <c r="B32" s="45">
        <f>'Annexe 1'!B38</f>
        <v>2611.1999999999998</v>
      </c>
    </row>
    <row r="33" spans="1:3" x14ac:dyDescent="0.25">
      <c r="A33" s="25" t="s">
        <v>98</v>
      </c>
      <c r="B33" s="50">
        <f t="shared" ref="B33" si="1">SUM(B25:B32)</f>
        <v>30952.760000000002</v>
      </c>
    </row>
    <row r="34" spans="1:3" x14ac:dyDescent="0.25">
      <c r="A34" s="25" t="s">
        <v>137</v>
      </c>
      <c r="B34" s="46">
        <f t="shared" ref="B34" si="2">B22-B33</f>
        <v>7496.9399999999951</v>
      </c>
      <c r="C34" s="31"/>
    </row>
    <row r="35" spans="1:3" x14ac:dyDescent="0.25">
      <c r="A35" s="25" t="s">
        <v>135</v>
      </c>
      <c r="B35" s="30">
        <f>B34/B10</f>
        <v>0.12347145821667373</v>
      </c>
      <c r="C35" s="31"/>
    </row>
    <row r="36" spans="1:3" x14ac:dyDescent="0.25">
      <c r="A36" s="197" t="s">
        <v>99</v>
      </c>
      <c r="B36" s="203"/>
    </row>
    <row r="37" spans="1:3" x14ac:dyDescent="0.25">
      <c r="A37" s="22" t="s">
        <v>100</v>
      </c>
      <c r="B37" s="84">
        <f>'Mission 1'!D38</f>
        <v>198.4</v>
      </c>
    </row>
    <row r="38" spans="1:3" x14ac:dyDescent="0.25">
      <c r="A38" s="23" t="s">
        <v>101</v>
      </c>
      <c r="B38" s="85">
        <f>'Mission 1'!D39</f>
        <v>184.3</v>
      </c>
    </row>
    <row r="39" spans="1:3" x14ac:dyDescent="0.25">
      <c r="A39" s="23" t="s">
        <v>94</v>
      </c>
      <c r="B39" s="85">
        <f>'Mission 1'!D40</f>
        <v>205.78</v>
      </c>
    </row>
    <row r="40" spans="1:3" x14ac:dyDescent="0.25">
      <c r="A40" s="23" t="s">
        <v>102</v>
      </c>
      <c r="B40" s="85">
        <f>'Mission 1'!D41</f>
        <v>833.5</v>
      </c>
    </row>
    <row r="41" spans="1:3" x14ac:dyDescent="0.25">
      <c r="A41" s="23" t="s">
        <v>103</v>
      </c>
      <c r="B41" s="85">
        <f>'Mission 1'!D42</f>
        <v>4710.09</v>
      </c>
    </row>
    <row r="42" spans="1:3" x14ac:dyDescent="0.25">
      <c r="A42" s="23" t="s">
        <v>96</v>
      </c>
      <c r="B42" s="85">
        <f>'Mission 1'!D43</f>
        <v>1648.53</v>
      </c>
    </row>
    <row r="43" spans="1:3" x14ac:dyDescent="0.25">
      <c r="A43" s="23" t="s">
        <v>104</v>
      </c>
      <c r="B43" s="85">
        <f>'Mission 1'!D44</f>
        <v>1225</v>
      </c>
    </row>
    <row r="44" spans="1:3" x14ac:dyDescent="0.25">
      <c r="A44" s="89" t="s">
        <v>105</v>
      </c>
      <c r="B44" s="90">
        <f>SUM(B37:B43)</f>
        <v>9005.5999999999985</v>
      </c>
    </row>
    <row r="45" spans="1:3" x14ac:dyDescent="0.25">
      <c r="A45" s="89" t="s">
        <v>106</v>
      </c>
      <c r="B45" s="90">
        <f>B34-B44</f>
        <v>-1508.6600000000035</v>
      </c>
    </row>
    <row r="46" spans="1:3" x14ac:dyDescent="0.25">
      <c r="B46" s="91"/>
    </row>
  </sheetData>
  <mergeCells count="5">
    <mergeCell ref="A1:B1"/>
    <mergeCell ref="A14:B14"/>
    <mergeCell ref="A24:B24"/>
    <mergeCell ref="A36:B36"/>
    <mergeCell ref="A2:B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4"/>
  <sheetViews>
    <sheetView workbookViewId="0">
      <selection activeCell="E18" sqref="E18"/>
    </sheetView>
  </sheetViews>
  <sheetFormatPr baseColWidth="10" defaultRowHeight="15" x14ac:dyDescent="0.25"/>
  <cols>
    <col min="2" max="2" width="41.28515625" customWidth="1"/>
    <col min="5" max="6" width="11.42578125" customWidth="1"/>
  </cols>
  <sheetData>
    <row r="2" spans="1:6" x14ac:dyDescent="0.25">
      <c r="A2" s="7" t="s">
        <v>194</v>
      </c>
    </row>
    <row r="3" spans="1:6" x14ac:dyDescent="0.25">
      <c r="A3" s="7"/>
    </row>
    <row r="4" spans="1:6" x14ac:dyDescent="0.25">
      <c r="A4" s="7" t="s">
        <v>197</v>
      </c>
    </row>
    <row r="5" spans="1:6" x14ac:dyDescent="0.25">
      <c r="E5" t="s">
        <v>195</v>
      </c>
      <c r="F5" s="116"/>
    </row>
    <row r="6" spans="1:6" x14ac:dyDescent="0.25">
      <c r="A6" s="3">
        <v>60640000</v>
      </c>
      <c r="B6" s="3" t="s">
        <v>53</v>
      </c>
      <c r="C6" s="15">
        <v>198.4</v>
      </c>
      <c r="D6" s="15"/>
      <c r="E6" s="115" t="s">
        <v>196</v>
      </c>
      <c r="F6" s="115"/>
    </row>
    <row r="7" spans="1:6" x14ac:dyDescent="0.25">
      <c r="A7" s="3">
        <v>62300000</v>
      </c>
      <c r="B7" s="4" t="s">
        <v>37</v>
      </c>
      <c r="C7" s="15">
        <v>184.3</v>
      </c>
      <c r="D7" s="15"/>
      <c r="E7" s="115" t="s">
        <v>196</v>
      </c>
      <c r="F7" s="115"/>
    </row>
    <row r="8" spans="1:6" x14ac:dyDescent="0.25">
      <c r="A8" s="3">
        <v>63500000</v>
      </c>
      <c r="B8" s="3" t="s">
        <v>58</v>
      </c>
      <c r="C8" s="15">
        <v>833.5</v>
      </c>
      <c r="D8" s="15"/>
      <c r="E8" s="115" t="s">
        <v>196</v>
      </c>
      <c r="F8" s="115"/>
    </row>
    <row r="9" spans="1:6" x14ac:dyDescent="0.25">
      <c r="A9" s="3">
        <v>64100000</v>
      </c>
      <c r="B9" s="4" t="s">
        <v>38</v>
      </c>
      <c r="C9" s="15">
        <v>37840.76</v>
      </c>
      <c r="D9" s="3"/>
      <c r="E9" s="127" t="s">
        <v>206</v>
      </c>
      <c r="F9" s="115"/>
    </row>
    <row r="10" spans="1:6" x14ac:dyDescent="0.25">
      <c r="A10" s="3">
        <v>64500000</v>
      </c>
      <c r="B10" s="3" t="s">
        <v>59</v>
      </c>
      <c r="C10" s="15">
        <v>13244.26</v>
      </c>
      <c r="D10" s="3"/>
      <c r="E10" s="127" t="s">
        <v>207</v>
      </c>
      <c r="F10" s="115"/>
    </row>
    <row r="11" spans="1:6" x14ac:dyDescent="0.25">
      <c r="A11" s="3">
        <v>70640000</v>
      </c>
      <c r="B11" s="3" t="s">
        <v>63</v>
      </c>
      <c r="C11" s="15"/>
      <c r="D11" s="15">
        <v>50454</v>
      </c>
      <c r="E11" s="115" t="s">
        <v>200</v>
      </c>
      <c r="F11" s="115"/>
    </row>
    <row r="12" spans="1:6" x14ac:dyDescent="0.25">
      <c r="A12" s="3">
        <v>66100000</v>
      </c>
      <c r="B12" s="4" t="s">
        <v>39</v>
      </c>
      <c r="C12" s="15">
        <v>1225</v>
      </c>
      <c r="D12" s="3"/>
      <c r="E12" s="115" t="s">
        <v>211</v>
      </c>
      <c r="F12" s="96"/>
    </row>
    <row r="14" spans="1:6" ht="15.75" customHeight="1" x14ac:dyDescent="0.25">
      <c r="A14" s="7" t="s">
        <v>198</v>
      </c>
    </row>
    <row r="15" spans="1:6" ht="15.75" customHeight="1" x14ac:dyDescent="0.25"/>
    <row r="16" spans="1:6" ht="15.75" customHeight="1" x14ac:dyDescent="0.25">
      <c r="A16" t="s">
        <v>201</v>
      </c>
    </row>
    <row r="17" spans="1:1" x14ac:dyDescent="0.25">
      <c r="A17" t="s">
        <v>203</v>
      </c>
    </row>
    <row r="18" spans="1:1" x14ac:dyDescent="0.25">
      <c r="A18" t="s">
        <v>210</v>
      </c>
    </row>
    <row r="19" spans="1:1" x14ac:dyDescent="0.25">
      <c r="A19" t="s">
        <v>209</v>
      </c>
    </row>
    <row r="21" spans="1:1" x14ac:dyDescent="0.25">
      <c r="A21" s="7" t="s">
        <v>199</v>
      </c>
    </row>
    <row r="22" spans="1:1" x14ac:dyDescent="0.25">
      <c r="A22" s="7"/>
    </row>
    <row r="23" spans="1:1" x14ac:dyDescent="0.25">
      <c r="A23" t="s">
        <v>204</v>
      </c>
    </row>
    <row r="24" spans="1:1" x14ac:dyDescent="0.25">
      <c r="A24" t="s">
        <v>212</v>
      </c>
    </row>
  </sheetData>
  <pageMargins left="0.7" right="0.7" top="0.75" bottom="0.75" header="0.3" footer="0.3"/>
  <pageSetup paperSize="9" orientation="portrait" r:id="rId1"/>
  <ignoredErrors>
    <ignoredError sqref="E6:E8 E11:E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6"/>
  <sheetViews>
    <sheetView topLeftCell="A23" workbookViewId="0">
      <selection activeCell="A44" sqref="A44:C44"/>
    </sheetView>
  </sheetViews>
  <sheetFormatPr baseColWidth="10" defaultRowHeight="15" x14ac:dyDescent="0.25"/>
  <cols>
    <col min="1" max="1" width="12.28515625" style="32" customWidth="1"/>
    <col min="2" max="2" width="50.7109375" customWidth="1"/>
    <col min="3" max="4" width="11.85546875" customWidth="1"/>
  </cols>
  <sheetData>
    <row r="1" spans="1:6" x14ac:dyDescent="0.25">
      <c r="A1" s="10" t="s">
        <v>42</v>
      </c>
      <c r="B1" s="2" t="s">
        <v>43</v>
      </c>
      <c r="C1" s="10" t="s">
        <v>40</v>
      </c>
      <c r="D1" s="10" t="s">
        <v>41</v>
      </c>
      <c r="E1" s="135" t="s">
        <v>214</v>
      </c>
      <c r="F1" s="135" t="s">
        <v>216</v>
      </c>
    </row>
    <row r="2" spans="1:6" x14ac:dyDescent="0.25">
      <c r="A2" s="130">
        <v>10100000</v>
      </c>
      <c r="B2" s="4" t="s">
        <v>0</v>
      </c>
      <c r="C2" s="15"/>
      <c r="D2" s="15">
        <v>650000</v>
      </c>
    </row>
    <row r="3" spans="1:6" x14ac:dyDescent="0.25">
      <c r="A3" s="130">
        <v>10611000</v>
      </c>
      <c r="B3" s="4" t="s">
        <v>1</v>
      </c>
      <c r="C3" s="15"/>
      <c r="D3" s="15">
        <v>65000</v>
      </c>
    </row>
    <row r="4" spans="1:6" x14ac:dyDescent="0.25">
      <c r="A4" s="130">
        <v>10688000</v>
      </c>
      <c r="B4" s="4" t="s">
        <v>2</v>
      </c>
      <c r="C4" s="15"/>
      <c r="D4" s="15">
        <v>200026.61</v>
      </c>
    </row>
    <row r="5" spans="1:6" x14ac:dyDescent="0.25">
      <c r="A5" s="130">
        <v>16420000</v>
      </c>
      <c r="B5" s="4" t="s">
        <v>3</v>
      </c>
      <c r="C5" s="15"/>
      <c r="D5" s="15">
        <f>-166353.55*(-1)</f>
        <v>166353.54999999999</v>
      </c>
    </row>
    <row r="6" spans="1:6" x14ac:dyDescent="0.25">
      <c r="A6" s="130">
        <v>20700000</v>
      </c>
      <c r="B6" s="4" t="s">
        <v>4</v>
      </c>
      <c r="C6" s="15">
        <v>962435.66</v>
      </c>
      <c r="D6" s="15"/>
    </row>
    <row r="7" spans="1:6" x14ac:dyDescent="0.25">
      <c r="A7" s="130">
        <v>20810000</v>
      </c>
      <c r="B7" s="4" t="s">
        <v>5</v>
      </c>
      <c r="C7" s="15">
        <v>303.37</v>
      </c>
      <c r="D7" s="15"/>
    </row>
    <row r="8" spans="1:6" x14ac:dyDescent="0.25">
      <c r="A8" s="130">
        <v>21540000</v>
      </c>
      <c r="B8" s="4" t="s">
        <v>6</v>
      </c>
      <c r="C8" s="15">
        <v>33071.24</v>
      </c>
      <c r="D8" s="15"/>
    </row>
    <row r="9" spans="1:6" x14ac:dyDescent="0.25">
      <c r="A9" s="130">
        <v>21810000</v>
      </c>
      <c r="B9" s="4" t="s">
        <v>7</v>
      </c>
      <c r="C9" s="15">
        <v>404614.09</v>
      </c>
      <c r="D9" s="15"/>
    </row>
    <row r="10" spans="1:6" x14ac:dyDescent="0.25">
      <c r="A10" s="130">
        <v>21815000</v>
      </c>
      <c r="B10" s="4" t="s">
        <v>8</v>
      </c>
      <c r="C10" s="15">
        <v>44023.57</v>
      </c>
      <c r="D10" s="15"/>
    </row>
    <row r="11" spans="1:6" x14ac:dyDescent="0.25">
      <c r="A11" s="130">
        <v>21830000</v>
      </c>
      <c r="B11" s="4" t="s">
        <v>9</v>
      </c>
      <c r="C11" s="15">
        <v>6808.2</v>
      </c>
      <c r="D11" s="15"/>
    </row>
    <row r="12" spans="1:6" x14ac:dyDescent="0.25">
      <c r="A12" s="130">
        <v>21840000</v>
      </c>
      <c r="B12" s="4" t="s">
        <v>10</v>
      </c>
      <c r="C12" s="15">
        <v>1194.82</v>
      </c>
      <c r="D12" s="15"/>
    </row>
    <row r="13" spans="1:6" x14ac:dyDescent="0.25">
      <c r="A13" s="130">
        <v>23850000</v>
      </c>
      <c r="B13" s="4" t="s">
        <v>11</v>
      </c>
      <c r="C13" s="15">
        <v>1753.33</v>
      </c>
      <c r="D13" s="15"/>
    </row>
    <row r="14" spans="1:6" x14ac:dyDescent="0.25">
      <c r="A14" s="130">
        <v>28081000</v>
      </c>
      <c r="B14" s="4" t="s">
        <v>12</v>
      </c>
      <c r="C14" s="15"/>
      <c r="D14" s="15">
        <f>-303.28*(-1)</f>
        <v>303.27999999999997</v>
      </c>
    </row>
    <row r="15" spans="1:6" x14ac:dyDescent="0.25">
      <c r="A15" s="130">
        <v>28154000</v>
      </c>
      <c r="B15" s="4" t="s">
        <v>13</v>
      </c>
      <c r="C15" s="15"/>
      <c r="D15" s="15">
        <f>-21539.18*(-1)</f>
        <v>21539.18</v>
      </c>
    </row>
    <row r="16" spans="1:6" x14ac:dyDescent="0.25">
      <c r="A16" s="130">
        <v>28181000</v>
      </c>
      <c r="B16" s="4" t="s">
        <v>14</v>
      </c>
      <c r="C16" s="15"/>
      <c r="D16" s="15">
        <f>-157251.99*(-1)</f>
        <v>157251.99</v>
      </c>
    </row>
    <row r="17" spans="1:4" x14ac:dyDescent="0.25">
      <c r="A17" s="130">
        <v>28181500</v>
      </c>
      <c r="B17" s="4" t="s">
        <v>15</v>
      </c>
      <c r="C17" s="15"/>
      <c r="D17" s="15">
        <f>-40848.02*(-1)</f>
        <v>40848.019999999997</v>
      </c>
    </row>
    <row r="18" spans="1:4" x14ac:dyDescent="0.25">
      <c r="A18" s="130">
        <v>28183000</v>
      </c>
      <c r="B18" s="4" t="s">
        <v>16</v>
      </c>
      <c r="C18" s="15"/>
      <c r="D18" s="15">
        <f>-6808.2*(-1)</f>
        <v>6808.2</v>
      </c>
    </row>
    <row r="19" spans="1:4" x14ac:dyDescent="0.25">
      <c r="A19" s="130">
        <v>28184000</v>
      </c>
      <c r="B19" s="4" t="s">
        <v>17</v>
      </c>
      <c r="C19" s="15"/>
      <c r="D19" s="15">
        <f>-398.93*(-1)</f>
        <v>398.93</v>
      </c>
    </row>
    <row r="20" spans="1:4" x14ac:dyDescent="0.25">
      <c r="A20" s="130">
        <v>29070000</v>
      </c>
      <c r="B20" s="4" t="s">
        <v>18</v>
      </c>
      <c r="C20" s="15"/>
      <c r="D20" s="15">
        <f>-100000*(-1)</f>
        <v>100000</v>
      </c>
    </row>
    <row r="21" spans="1:4" x14ac:dyDescent="0.25">
      <c r="A21" s="130">
        <v>32000000</v>
      </c>
      <c r="B21" s="4" t="s">
        <v>19</v>
      </c>
      <c r="C21" s="15">
        <v>2118.9899999999998</v>
      </c>
      <c r="D21" s="15"/>
    </row>
    <row r="22" spans="1:4" x14ac:dyDescent="0.25">
      <c r="A22" s="130">
        <v>40110000</v>
      </c>
      <c r="B22" s="4" t="s">
        <v>20</v>
      </c>
      <c r="C22" s="15"/>
      <c r="D22" s="15">
        <f>-14609.31*(-1)</f>
        <v>14609.31</v>
      </c>
    </row>
    <row r="23" spans="1:4" x14ac:dyDescent="0.25">
      <c r="A23" s="130">
        <v>40410000</v>
      </c>
      <c r="B23" s="4" t="s">
        <v>21</v>
      </c>
      <c r="C23" s="15"/>
      <c r="D23" s="15">
        <f>0*(-1)</f>
        <v>0</v>
      </c>
    </row>
    <row r="24" spans="1:4" x14ac:dyDescent="0.25">
      <c r="A24" s="130">
        <v>41110000</v>
      </c>
      <c r="B24" s="4" t="s">
        <v>22</v>
      </c>
      <c r="C24" s="15">
        <v>0</v>
      </c>
      <c r="D24" s="15"/>
    </row>
    <row r="25" spans="1:4" x14ac:dyDescent="0.25">
      <c r="A25" s="130">
        <v>41910000</v>
      </c>
      <c r="B25" s="4" t="s">
        <v>23</v>
      </c>
      <c r="C25" s="15">
        <v>0</v>
      </c>
      <c r="D25" s="15"/>
    </row>
    <row r="26" spans="1:4" x14ac:dyDescent="0.25">
      <c r="A26" s="130">
        <v>41960000</v>
      </c>
      <c r="B26" s="4" t="s">
        <v>24</v>
      </c>
      <c r="C26" s="15">
        <v>0</v>
      </c>
      <c r="D26" s="15"/>
    </row>
    <row r="27" spans="1:4" x14ac:dyDescent="0.25">
      <c r="A27" s="130">
        <v>42100000</v>
      </c>
      <c r="B27" s="4" t="s">
        <v>25</v>
      </c>
      <c r="C27" s="15"/>
      <c r="D27" s="15">
        <v>27553.95</v>
      </c>
    </row>
    <row r="28" spans="1:4" x14ac:dyDescent="0.25">
      <c r="A28" s="130">
        <v>43100000</v>
      </c>
      <c r="B28" s="4" t="s">
        <v>26</v>
      </c>
      <c r="C28" s="15"/>
      <c r="D28" s="15">
        <v>12345.62</v>
      </c>
    </row>
    <row r="29" spans="1:4" x14ac:dyDescent="0.25">
      <c r="A29" s="130">
        <v>43710000</v>
      </c>
      <c r="B29" s="4" t="s">
        <v>27</v>
      </c>
      <c r="C29" s="15"/>
      <c r="D29" s="15">
        <f>-11534.47*(-1)</f>
        <v>11534.47</v>
      </c>
    </row>
    <row r="30" spans="1:4" x14ac:dyDescent="0.25">
      <c r="A30" s="130">
        <v>44210000</v>
      </c>
      <c r="B30" s="4" t="s">
        <v>28</v>
      </c>
      <c r="C30" s="15"/>
      <c r="D30" s="15">
        <f>-707.85*(-1)</f>
        <v>707.85</v>
      </c>
    </row>
    <row r="31" spans="1:4" x14ac:dyDescent="0.25">
      <c r="A31" s="130">
        <v>44566100</v>
      </c>
      <c r="B31" s="4" t="s">
        <v>29</v>
      </c>
      <c r="C31" s="15">
        <v>1104.8699999999999</v>
      </c>
      <c r="D31" s="15"/>
    </row>
    <row r="32" spans="1:4" x14ac:dyDescent="0.25">
      <c r="A32" s="130">
        <v>44566200</v>
      </c>
      <c r="B32" s="4" t="s">
        <v>30</v>
      </c>
      <c r="C32" s="15">
        <v>2333.36</v>
      </c>
      <c r="D32" s="15"/>
    </row>
    <row r="33" spans="1:6" x14ac:dyDescent="0.25">
      <c r="A33" s="130">
        <v>44570100</v>
      </c>
      <c r="B33" s="4" t="s">
        <v>31</v>
      </c>
      <c r="C33" s="15"/>
      <c r="D33" s="15">
        <v>9727.6</v>
      </c>
    </row>
    <row r="34" spans="1:6" x14ac:dyDescent="0.25">
      <c r="A34" s="130">
        <v>44570200</v>
      </c>
      <c r="B34" s="4" t="s">
        <v>32</v>
      </c>
      <c r="C34" s="15"/>
      <c r="D34" s="15">
        <v>256.60000000000002</v>
      </c>
    </row>
    <row r="35" spans="1:6" x14ac:dyDescent="0.25">
      <c r="A35" s="130">
        <v>51130000</v>
      </c>
      <c r="B35" s="4" t="s">
        <v>33</v>
      </c>
      <c r="C35" s="15">
        <v>546.9</v>
      </c>
      <c r="D35" s="15"/>
    </row>
    <row r="36" spans="1:6" x14ac:dyDescent="0.25">
      <c r="A36" s="130">
        <v>51213000</v>
      </c>
      <c r="B36" s="4" t="s">
        <v>34</v>
      </c>
      <c r="C36" s="15">
        <v>22373.58</v>
      </c>
      <c r="D36" s="15"/>
      <c r="F36" s="1"/>
    </row>
    <row r="37" spans="1:6" x14ac:dyDescent="0.25">
      <c r="A37" s="130">
        <v>53000000</v>
      </c>
      <c r="B37" s="4" t="s">
        <v>35</v>
      </c>
      <c r="C37" s="15">
        <v>1613.9</v>
      </c>
      <c r="D37" s="15"/>
      <c r="E37" t="s">
        <v>213</v>
      </c>
      <c r="F37" t="s">
        <v>215</v>
      </c>
    </row>
    <row r="38" spans="1:6" ht="15.75" customHeight="1" x14ac:dyDescent="0.25">
      <c r="A38" s="130">
        <v>60110000</v>
      </c>
      <c r="B38" s="3" t="s">
        <v>46</v>
      </c>
      <c r="C38" s="15">
        <v>14258.9</v>
      </c>
      <c r="D38" s="15"/>
      <c r="E38" s="136">
        <f t="shared" ref="E38:E44" si="0">C38</f>
        <v>14258.9</v>
      </c>
    </row>
    <row r="39" spans="1:6" x14ac:dyDescent="0.25">
      <c r="A39" s="130">
        <v>60120000</v>
      </c>
      <c r="B39" s="3" t="s">
        <v>47</v>
      </c>
      <c r="C39" s="15">
        <v>1142.4000000000001</v>
      </c>
      <c r="D39" s="15"/>
      <c r="E39" s="137">
        <f t="shared" si="0"/>
        <v>1142.4000000000001</v>
      </c>
    </row>
    <row r="40" spans="1:6" x14ac:dyDescent="0.25">
      <c r="A40" s="133">
        <v>60130000</v>
      </c>
      <c r="B40" s="20" t="s">
        <v>48</v>
      </c>
      <c r="C40" s="21">
        <v>4687.3999999999996</v>
      </c>
      <c r="D40" s="21"/>
      <c r="E40" s="137">
        <f t="shared" si="0"/>
        <v>4687.3999999999996</v>
      </c>
    </row>
    <row r="41" spans="1:6" x14ac:dyDescent="0.25">
      <c r="A41" s="130">
        <v>60140000</v>
      </c>
      <c r="B41" s="3" t="s">
        <v>49</v>
      </c>
      <c r="C41" s="15">
        <v>455.9</v>
      </c>
      <c r="D41" s="15"/>
      <c r="E41" s="137">
        <f t="shared" si="0"/>
        <v>455.9</v>
      </c>
    </row>
    <row r="42" spans="1:6" x14ac:dyDescent="0.25">
      <c r="A42" s="133">
        <v>60220000</v>
      </c>
      <c r="B42" s="20" t="s">
        <v>50</v>
      </c>
      <c r="C42" s="21">
        <v>1686.7</v>
      </c>
      <c r="D42" s="21"/>
      <c r="E42" s="137">
        <f t="shared" si="0"/>
        <v>1686.7</v>
      </c>
    </row>
    <row r="43" spans="1:6" x14ac:dyDescent="0.25">
      <c r="A43" s="130">
        <v>60610000</v>
      </c>
      <c r="B43" s="3" t="s">
        <v>51</v>
      </c>
      <c r="C43" s="15">
        <v>6909.2</v>
      </c>
      <c r="D43" s="15"/>
      <c r="E43" s="137">
        <f t="shared" si="0"/>
        <v>6909.2</v>
      </c>
    </row>
    <row r="44" spans="1:6" x14ac:dyDescent="0.25">
      <c r="A44" s="133">
        <v>60630000</v>
      </c>
      <c r="B44" s="20" t="s">
        <v>52</v>
      </c>
      <c r="C44" s="21">
        <f>969.5</f>
        <v>969.5</v>
      </c>
      <c r="D44" s="21"/>
      <c r="E44" s="137">
        <f t="shared" si="0"/>
        <v>969.5</v>
      </c>
    </row>
    <row r="45" spans="1:6" x14ac:dyDescent="0.25">
      <c r="A45" s="130">
        <v>60640000</v>
      </c>
      <c r="B45" s="3" t="s">
        <v>53</v>
      </c>
      <c r="C45" s="15">
        <v>198.4</v>
      </c>
      <c r="D45" s="15"/>
      <c r="F45" s="136">
        <f>+C45</f>
        <v>198.4</v>
      </c>
    </row>
    <row r="46" spans="1:6" x14ac:dyDescent="0.25">
      <c r="A46" s="133">
        <v>61500000</v>
      </c>
      <c r="B46" s="20" t="s">
        <v>54</v>
      </c>
      <c r="C46" s="21">
        <v>548.79999999999995</v>
      </c>
      <c r="D46" s="21"/>
      <c r="F46" s="136">
        <f t="shared" ref="F46:F56" si="1">+C46</f>
        <v>548.79999999999995</v>
      </c>
    </row>
    <row r="47" spans="1:6" x14ac:dyDescent="0.25">
      <c r="A47" s="130">
        <v>61600000</v>
      </c>
      <c r="B47" s="4" t="s">
        <v>36</v>
      </c>
      <c r="C47" s="15">
        <v>457.3</v>
      </c>
      <c r="D47" s="15"/>
      <c r="F47" s="136">
        <f t="shared" si="1"/>
        <v>457.3</v>
      </c>
    </row>
    <row r="48" spans="1:6" x14ac:dyDescent="0.25">
      <c r="A48" s="133">
        <v>62100000</v>
      </c>
      <c r="B48" s="20" t="s">
        <v>55</v>
      </c>
      <c r="C48" s="21">
        <v>914</v>
      </c>
      <c r="D48" s="21"/>
      <c r="F48" s="136">
        <f t="shared" si="1"/>
        <v>914</v>
      </c>
    </row>
    <row r="49" spans="1:7" x14ac:dyDescent="0.25">
      <c r="A49" s="130">
        <v>62300000</v>
      </c>
      <c r="B49" s="4" t="s">
        <v>37</v>
      </c>
      <c r="C49" s="15">
        <v>184.3</v>
      </c>
      <c r="D49" s="15"/>
      <c r="F49" s="136">
        <f t="shared" si="1"/>
        <v>184.3</v>
      </c>
    </row>
    <row r="50" spans="1:7" x14ac:dyDescent="0.25">
      <c r="A50" s="133">
        <v>62600000</v>
      </c>
      <c r="B50" s="20" t="s">
        <v>56</v>
      </c>
      <c r="C50" s="21">
        <v>914.6</v>
      </c>
      <c r="D50" s="21"/>
      <c r="F50" s="136">
        <f t="shared" si="1"/>
        <v>914.6</v>
      </c>
    </row>
    <row r="51" spans="1:7" x14ac:dyDescent="0.25">
      <c r="A51" s="130">
        <v>63100000</v>
      </c>
      <c r="B51" s="3" t="s">
        <v>57</v>
      </c>
      <c r="C51" s="15">
        <v>1653.26</v>
      </c>
      <c r="D51" s="15"/>
      <c r="F51" s="136">
        <f t="shared" si="1"/>
        <v>1653.26</v>
      </c>
    </row>
    <row r="52" spans="1:7" x14ac:dyDescent="0.25">
      <c r="A52" s="133">
        <v>63500000</v>
      </c>
      <c r="B52" s="20" t="s">
        <v>58</v>
      </c>
      <c r="C52" s="21">
        <v>833.5</v>
      </c>
      <c r="D52" s="21"/>
      <c r="F52" s="136">
        <f t="shared" si="1"/>
        <v>833.5</v>
      </c>
    </row>
    <row r="53" spans="1:7" x14ac:dyDescent="0.25">
      <c r="A53" s="130">
        <v>64100000</v>
      </c>
      <c r="B53" s="4" t="s">
        <v>38</v>
      </c>
      <c r="C53" s="15">
        <v>37840.76</v>
      </c>
      <c r="D53" s="15"/>
      <c r="F53" s="136">
        <f t="shared" si="1"/>
        <v>37840.76</v>
      </c>
    </row>
    <row r="54" spans="1:7" x14ac:dyDescent="0.25">
      <c r="A54" s="133">
        <v>64500000</v>
      </c>
      <c r="B54" s="20" t="s">
        <v>59</v>
      </c>
      <c r="C54" s="21">
        <v>13244.26</v>
      </c>
      <c r="D54" s="21"/>
      <c r="F54" s="136">
        <f t="shared" si="1"/>
        <v>13244.26</v>
      </c>
    </row>
    <row r="55" spans="1:7" x14ac:dyDescent="0.25">
      <c r="A55" s="130">
        <v>66100000</v>
      </c>
      <c r="B55" s="4" t="s">
        <v>39</v>
      </c>
      <c r="C55" s="15">
        <v>1225</v>
      </c>
      <c r="D55" s="15"/>
      <c r="F55" s="136">
        <f t="shared" si="1"/>
        <v>1225</v>
      </c>
    </row>
    <row r="56" spans="1:7" x14ac:dyDescent="0.25">
      <c r="A56" s="133">
        <v>68110000</v>
      </c>
      <c r="B56" s="20" t="s">
        <v>66</v>
      </c>
      <c r="C56" s="21">
        <v>8704.1</v>
      </c>
      <c r="D56" s="21"/>
      <c r="F56" s="136">
        <f t="shared" si="1"/>
        <v>8704.1</v>
      </c>
    </row>
    <row r="57" spans="1:7" x14ac:dyDescent="0.25">
      <c r="A57" s="130">
        <v>70610000</v>
      </c>
      <c r="B57" s="3" t="s">
        <v>60</v>
      </c>
      <c r="C57" s="15"/>
      <c r="D57" s="15">
        <v>20236</v>
      </c>
    </row>
    <row r="58" spans="1:7" x14ac:dyDescent="0.25">
      <c r="A58" s="133">
        <v>70620000</v>
      </c>
      <c r="B58" s="20" t="s">
        <v>61</v>
      </c>
      <c r="C58" s="21"/>
      <c r="D58" s="21">
        <v>21240</v>
      </c>
    </row>
    <row r="59" spans="1:7" x14ac:dyDescent="0.25">
      <c r="A59" s="130">
        <v>70630000</v>
      </c>
      <c r="B59" s="3" t="s">
        <v>62</v>
      </c>
      <c r="C59" s="15"/>
      <c r="D59" s="15">
        <v>2646</v>
      </c>
    </row>
    <row r="60" spans="1:7" x14ac:dyDescent="0.25">
      <c r="A60" s="133">
        <v>70640000</v>
      </c>
      <c r="B60" s="20" t="s">
        <v>63</v>
      </c>
      <c r="C60" s="21"/>
      <c r="D60" s="21">
        <v>50454</v>
      </c>
    </row>
    <row r="61" spans="1:7" x14ac:dyDescent="0.25">
      <c r="A61" s="130">
        <v>70650000</v>
      </c>
      <c r="B61" s="3" t="s">
        <v>64</v>
      </c>
      <c r="C61" s="15"/>
      <c r="D61" s="15">
        <v>814.5</v>
      </c>
    </row>
    <row r="62" spans="1:7" x14ac:dyDescent="0.25">
      <c r="A62" s="133">
        <v>70850000</v>
      </c>
      <c r="B62" s="20" t="s">
        <v>65</v>
      </c>
      <c r="C62" s="21"/>
      <c r="D62" s="21">
        <v>468.5</v>
      </c>
    </row>
    <row r="63" spans="1:7" s="7" customFormat="1" x14ac:dyDescent="0.25">
      <c r="A63" s="131"/>
      <c r="B63" s="9" t="s">
        <v>44</v>
      </c>
      <c r="C63" s="17">
        <f>SUM(C2:C62)</f>
        <v>1581124.1600000001</v>
      </c>
      <c r="D63" s="17">
        <f>SUM(D2:D62)</f>
        <v>1581124.1600000001</v>
      </c>
      <c r="E63" s="17">
        <f t="shared" ref="E63:F63" si="2">SUM(E2:E62)</f>
        <v>30110</v>
      </c>
      <c r="F63" s="17">
        <f t="shared" si="2"/>
        <v>66718.28</v>
      </c>
      <c r="G63" s="19"/>
    </row>
    <row r="65" spans="1:1" ht="15.75" x14ac:dyDescent="0.25">
      <c r="A65" s="132" t="s">
        <v>67</v>
      </c>
    </row>
    <row r="66" spans="1:1" ht="15.75" x14ac:dyDescent="0.25">
      <c r="A66" s="105" t="s">
        <v>68</v>
      </c>
    </row>
  </sheetData>
  <phoneticPr fontId="19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1"/>
  <sheetViews>
    <sheetView workbookViewId="0">
      <selection activeCell="C9" sqref="C9"/>
    </sheetView>
  </sheetViews>
  <sheetFormatPr baseColWidth="10" defaultRowHeight="15" x14ac:dyDescent="0.25"/>
  <cols>
    <col min="1" max="1" width="12.28515625" style="32" customWidth="1"/>
    <col min="2" max="2" width="50.7109375" customWidth="1"/>
    <col min="3" max="4" width="11.85546875" style="14" customWidth="1"/>
  </cols>
  <sheetData>
    <row r="1" spans="1:22" x14ac:dyDescent="0.25">
      <c r="A1" s="10" t="s">
        <v>42</v>
      </c>
      <c r="B1" s="2" t="s">
        <v>43</v>
      </c>
      <c r="C1" s="13" t="s">
        <v>40</v>
      </c>
      <c r="D1" s="13" t="s">
        <v>41</v>
      </c>
    </row>
    <row r="2" spans="1:22" s="12" customFormat="1" ht="15.75" customHeight="1" x14ac:dyDescent="0.25">
      <c r="A2" s="128">
        <v>60110000</v>
      </c>
      <c r="B2" s="11" t="s">
        <v>46</v>
      </c>
      <c r="C2" s="18">
        <v>14258.9</v>
      </c>
      <c r="D2" s="18"/>
      <c r="E2" s="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x14ac:dyDescent="0.25">
      <c r="A3" s="129">
        <v>60120000</v>
      </c>
      <c r="B3" s="5" t="s">
        <v>47</v>
      </c>
      <c r="C3" s="16">
        <v>1142.4000000000001</v>
      </c>
      <c r="D3" s="16"/>
      <c r="E3" s="1"/>
    </row>
    <row r="4" spans="1:22" x14ac:dyDescent="0.25">
      <c r="A4" s="130">
        <v>60130000</v>
      </c>
      <c r="B4" s="3" t="s">
        <v>48</v>
      </c>
      <c r="C4" s="15">
        <v>4687.3999999999996</v>
      </c>
      <c r="D4" s="15"/>
    </row>
    <row r="5" spans="1:22" x14ac:dyDescent="0.25">
      <c r="A5" s="129">
        <v>60140000</v>
      </c>
      <c r="B5" s="5" t="s">
        <v>49</v>
      </c>
      <c r="C5" s="16">
        <v>455.9</v>
      </c>
      <c r="D5" s="16"/>
    </row>
    <row r="6" spans="1:22" x14ac:dyDescent="0.25">
      <c r="A6" s="130">
        <v>60220000</v>
      </c>
      <c r="B6" s="3" t="s">
        <v>50</v>
      </c>
      <c r="C6" s="15">
        <v>1686.7</v>
      </c>
      <c r="D6" s="15"/>
    </row>
    <row r="7" spans="1:22" x14ac:dyDescent="0.25">
      <c r="A7" s="129">
        <v>60610000</v>
      </c>
      <c r="B7" s="5" t="s">
        <v>51</v>
      </c>
      <c r="C7" s="16">
        <v>6909.2</v>
      </c>
      <c r="D7" s="16"/>
    </row>
    <row r="8" spans="1:22" x14ac:dyDescent="0.25">
      <c r="A8" s="130">
        <v>60630000</v>
      </c>
      <c r="B8" s="3" t="s">
        <v>52</v>
      </c>
      <c r="C8" s="15">
        <v>969.5</v>
      </c>
      <c r="D8" s="15"/>
    </row>
    <row r="9" spans="1:22" x14ac:dyDescent="0.25">
      <c r="A9" s="129">
        <v>60640000</v>
      </c>
      <c r="B9" s="5" t="s">
        <v>53</v>
      </c>
      <c r="C9" s="16">
        <v>198.4</v>
      </c>
      <c r="D9" s="16"/>
    </row>
    <row r="10" spans="1:22" x14ac:dyDescent="0.25">
      <c r="A10" s="130">
        <v>61500000</v>
      </c>
      <c r="B10" s="3" t="s">
        <v>54</v>
      </c>
      <c r="C10" s="15">
        <v>548.79999999999995</v>
      </c>
      <c r="D10" s="15"/>
    </row>
    <row r="11" spans="1:22" x14ac:dyDescent="0.25">
      <c r="A11" s="129">
        <v>61600000</v>
      </c>
      <c r="B11" s="6" t="s">
        <v>36</v>
      </c>
      <c r="C11" s="16">
        <v>457.3</v>
      </c>
      <c r="D11" s="16"/>
    </row>
    <row r="12" spans="1:22" x14ac:dyDescent="0.25">
      <c r="A12" s="130">
        <v>62100000</v>
      </c>
      <c r="B12" s="3" t="s">
        <v>55</v>
      </c>
      <c r="C12" s="15">
        <v>914</v>
      </c>
      <c r="D12" s="15"/>
    </row>
    <row r="13" spans="1:22" x14ac:dyDescent="0.25">
      <c r="A13" s="129">
        <v>62300000</v>
      </c>
      <c r="B13" s="8" t="s">
        <v>37</v>
      </c>
      <c r="C13" s="16">
        <v>184.3</v>
      </c>
      <c r="D13" s="16"/>
    </row>
    <row r="14" spans="1:22" x14ac:dyDescent="0.25">
      <c r="A14" s="130">
        <v>62600000</v>
      </c>
      <c r="B14" s="3" t="s">
        <v>56</v>
      </c>
      <c r="C14" s="15">
        <v>914.6</v>
      </c>
      <c r="D14" s="15"/>
    </row>
    <row r="15" spans="1:22" x14ac:dyDescent="0.25">
      <c r="A15" s="129">
        <v>63100000</v>
      </c>
      <c r="B15" s="5" t="s">
        <v>57</v>
      </c>
      <c r="C15" s="16">
        <v>1653.26</v>
      </c>
      <c r="D15" s="16"/>
    </row>
    <row r="16" spans="1:22" x14ac:dyDescent="0.25">
      <c r="A16" s="130">
        <v>63500000</v>
      </c>
      <c r="B16" s="3" t="s">
        <v>58</v>
      </c>
      <c r="C16" s="15">
        <v>833.5</v>
      </c>
      <c r="D16" s="15"/>
    </row>
    <row r="17" spans="1:4" x14ac:dyDescent="0.25">
      <c r="A17" s="129">
        <v>64100000</v>
      </c>
      <c r="B17" s="8" t="s">
        <v>38</v>
      </c>
      <c r="C17" s="16">
        <v>37840.76</v>
      </c>
      <c r="D17" s="16"/>
    </row>
    <row r="18" spans="1:4" x14ac:dyDescent="0.25">
      <c r="A18" s="130">
        <v>64500000</v>
      </c>
      <c r="B18" s="3" t="s">
        <v>59</v>
      </c>
      <c r="C18" s="15">
        <v>13244.26</v>
      </c>
      <c r="D18" s="15"/>
    </row>
    <row r="19" spans="1:4" x14ac:dyDescent="0.25">
      <c r="A19" s="129">
        <v>66100000</v>
      </c>
      <c r="B19" s="6" t="s">
        <v>39</v>
      </c>
      <c r="C19" s="16">
        <v>1225</v>
      </c>
      <c r="D19" s="16"/>
    </row>
    <row r="20" spans="1:4" x14ac:dyDescent="0.25">
      <c r="A20" s="130">
        <v>68110000</v>
      </c>
      <c r="B20" s="3" t="s">
        <v>66</v>
      </c>
      <c r="C20" s="15">
        <v>8704.1</v>
      </c>
      <c r="D20" s="15"/>
    </row>
    <row r="21" spans="1:4" x14ac:dyDescent="0.25">
      <c r="A21" s="129">
        <v>70610000</v>
      </c>
      <c r="B21" s="5" t="s">
        <v>60</v>
      </c>
      <c r="C21" s="16"/>
      <c r="D21" s="16">
        <v>20236</v>
      </c>
    </row>
    <row r="22" spans="1:4" x14ac:dyDescent="0.25">
      <c r="A22" s="130">
        <v>70620000</v>
      </c>
      <c r="B22" s="3" t="s">
        <v>61</v>
      </c>
      <c r="C22" s="15"/>
      <c r="D22" s="15">
        <v>21240</v>
      </c>
    </row>
    <row r="23" spans="1:4" x14ac:dyDescent="0.25">
      <c r="A23" s="129">
        <v>70630000</v>
      </c>
      <c r="B23" s="5" t="s">
        <v>62</v>
      </c>
      <c r="C23" s="16"/>
      <c r="D23" s="16">
        <v>2646</v>
      </c>
    </row>
    <row r="24" spans="1:4" x14ac:dyDescent="0.25">
      <c r="A24" s="130">
        <v>70640000</v>
      </c>
      <c r="B24" s="3" t="s">
        <v>63</v>
      </c>
      <c r="C24" s="15"/>
      <c r="D24" s="15">
        <v>50454</v>
      </c>
    </row>
    <row r="25" spans="1:4" x14ac:dyDescent="0.25">
      <c r="A25" s="129">
        <v>70650000</v>
      </c>
      <c r="B25" s="5" t="s">
        <v>64</v>
      </c>
      <c r="C25" s="16"/>
      <c r="D25" s="16">
        <v>814.5</v>
      </c>
    </row>
    <row r="26" spans="1:4" x14ac:dyDescent="0.25">
      <c r="A26" s="130">
        <v>70850000</v>
      </c>
      <c r="B26" s="3" t="s">
        <v>65</v>
      </c>
      <c r="C26" s="15"/>
      <c r="D26" s="15">
        <v>468.5</v>
      </c>
    </row>
    <row r="27" spans="1:4" s="7" customFormat="1" x14ac:dyDescent="0.25">
      <c r="A27" s="131"/>
      <c r="B27" s="9" t="s">
        <v>44</v>
      </c>
      <c r="C27" s="17">
        <f>SUM(C1:C26)</f>
        <v>96828.280000000013</v>
      </c>
      <c r="D27" s="17">
        <f>SUM(D1:D26)</f>
        <v>95859</v>
      </c>
    </row>
    <row r="28" spans="1:4" s="7" customFormat="1" x14ac:dyDescent="0.25">
      <c r="A28" s="131"/>
      <c r="B28" s="9" t="s">
        <v>45</v>
      </c>
      <c r="C28" s="17"/>
      <c r="D28" s="17">
        <f>D27-C27</f>
        <v>-969.28000000001339</v>
      </c>
    </row>
    <row r="30" spans="1:4" ht="15.75" x14ac:dyDescent="0.25">
      <c r="A30" s="132" t="s">
        <v>67</v>
      </c>
    </row>
    <row r="31" spans="1:4" ht="15.75" x14ac:dyDescent="0.25">
      <c r="A31" s="105" t="s">
        <v>68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"/>
  <sheetViews>
    <sheetView showGridLines="0" workbookViewId="0">
      <selection activeCell="B15" sqref="B15"/>
    </sheetView>
  </sheetViews>
  <sheetFormatPr baseColWidth="10" defaultRowHeight="15" x14ac:dyDescent="0.25"/>
  <cols>
    <col min="1" max="1" width="42.42578125" customWidth="1"/>
    <col min="2" max="2" width="13.7109375" customWidth="1"/>
    <col min="3" max="3" width="13.28515625" customWidth="1"/>
    <col min="4" max="4" width="13.7109375" customWidth="1"/>
    <col min="5" max="5" width="11.85546875" bestFit="1" customWidth="1"/>
    <col min="7" max="7" width="11.85546875" bestFit="1" customWidth="1"/>
    <col min="9" max="9" width="11.85546875" bestFit="1" customWidth="1"/>
  </cols>
  <sheetData>
    <row r="1" spans="1:5" ht="15.75" x14ac:dyDescent="0.25">
      <c r="A1" s="134" t="s">
        <v>108</v>
      </c>
      <c r="B1" s="125"/>
      <c r="C1" s="125"/>
      <c r="D1" s="125"/>
      <c r="E1" s="125"/>
    </row>
    <row r="2" spans="1:5" ht="15.75" x14ac:dyDescent="0.25">
      <c r="A2" s="51"/>
    </row>
    <row r="3" spans="1:5" ht="51.75" customHeight="1" x14ac:dyDescent="0.25">
      <c r="A3" s="181" t="s">
        <v>109</v>
      </c>
      <c r="B3" s="181"/>
      <c r="C3" s="181"/>
      <c r="D3" s="181"/>
      <c r="E3" s="119"/>
    </row>
    <row r="4" spans="1:5" ht="15.75" x14ac:dyDescent="0.25">
      <c r="A4" s="52" t="s">
        <v>110</v>
      </c>
      <c r="B4" s="63">
        <v>10976</v>
      </c>
    </row>
    <row r="5" spans="1:5" ht="15.75" x14ac:dyDescent="0.25">
      <c r="A5" s="52" t="s">
        <v>111</v>
      </c>
      <c r="B5" s="63">
        <v>10264</v>
      </c>
    </row>
    <row r="6" spans="1:5" ht="15.75" x14ac:dyDescent="0.25">
      <c r="A6" s="52"/>
    </row>
    <row r="7" spans="1:5" ht="33.75" customHeight="1" x14ac:dyDescent="0.25">
      <c r="A7" s="181" t="s">
        <v>112</v>
      </c>
      <c r="B7" s="181"/>
      <c r="C7" s="181"/>
      <c r="D7" s="181"/>
      <c r="E7" s="119"/>
    </row>
    <row r="8" spans="1:5" ht="15.75" x14ac:dyDescent="0.25">
      <c r="A8" s="52"/>
    </row>
    <row r="9" spans="1:5" ht="15.75" x14ac:dyDescent="0.25">
      <c r="A9" s="126" t="s">
        <v>113</v>
      </c>
      <c r="B9" s="126"/>
      <c r="C9" s="126"/>
      <c r="D9" s="126"/>
      <c r="E9" s="126"/>
    </row>
    <row r="10" spans="1:5" ht="9" customHeight="1" thickBot="1" x14ac:dyDescent="0.3">
      <c r="A10" s="52"/>
    </row>
    <row r="11" spans="1:5" ht="16.5" thickBot="1" x14ac:dyDescent="0.3">
      <c r="A11" s="54" t="s">
        <v>114</v>
      </c>
      <c r="B11" s="122" t="s">
        <v>70</v>
      </c>
      <c r="C11" s="122" t="s">
        <v>71</v>
      </c>
    </row>
    <row r="12" spans="1:5" ht="24" customHeight="1" x14ac:dyDescent="0.25">
      <c r="A12" s="55" t="s">
        <v>86</v>
      </c>
      <c r="B12" s="57">
        <v>1078.4000000000001</v>
      </c>
      <c r="C12" s="57">
        <v>608.29999999999995</v>
      </c>
    </row>
    <row r="13" spans="1:5" ht="24" customHeight="1" x14ac:dyDescent="0.25">
      <c r="A13" s="55" t="s">
        <v>87</v>
      </c>
      <c r="B13" s="57">
        <v>4272.8</v>
      </c>
      <c r="C13" s="57">
        <v>2636.4</v>
      </c>
    </row>
    <row r="14" spans="1:5" ht="24" customHeight="1" x14ac:dyDescent="0.25">
      <c r="A14" s="55" t="s">
        <v>115</v>
      </c>
      <c r="B14" s="57">
        <v>892.2</v>
      </c>
      <c r="C14" s="57">
        <v>77.3</v>
      </c>
    </row>
    <row r="15" spans="1:5" ht="24" customHeight="1" x14ac:dyDescent="0.25">
      <c r="A15" s="55" t="s">
        <v>116</v>
      </c>
      <c r="B15" s="57">
        <v>401.3</v>
      </c>
      <c r="C15" s="57">
        <v>147.5</v>
      </c>
    </row>
    <row r="16" spans="1:5" ht="24" customHeight="1" x14ac:dyDescent="0.25">
      <c r="A16" s="55" t="s">
        <v>117</v>
      </c>
      <c r="B16" s="57">
        <v>365.8</v>
      </c>
      <c r="C16" s="57">
        <v>91.5</v>
      </c>
    </row>
    <row r="17" spans="1:8" ht="24" customHeight="1" thickBot="1" x14ac:dyDescent="0.3">
      <c r="A17" s="56" t="s">
        <v>118</v>
      </c>
      <c r="B17" s="58">
        <v>823.1</v>
      </c>
      <c r="C17" s="58">
        <v>91.5</v>
      </c>
    </row>
    <row r="18" spans="1:8" ht="15.75" x14ac:dyDescent="0.25">
      <c r="A18" s="52"/>
      <c r="B18" s="66"/>
      <c r="C18" s="66"/>
    </row>
    <row r="19" spans="1:8" ht="27.75" customHeight="1" x14ac:dyDescent="0.25">
      <c r="A19" s="59" t="s">
        <v>119</v>
      </c>
    </row>
    <row r="20" spans="1:8" ht="8.25" customHeight="1" thickBot="1" x14ac:dyDescent="0.3">
      <c r="A20" s="52"/>
    </row>
    <row r="21" spans="1:8" ht="32.25" thickBot="1" x14ac:dyDescent="0.3">
      <c r="A21" s="54" t="s">
        <v>114</v>
      </c>
      <c r="B21" s="122" t="s">
        <v>70</v>
      </c>
      <c r="C21" s="122" t="s">
        <v>71</v>
      </c>
      <c r="D21" s="122" t="s">
        <v>120</v>
      </c>
    </row>
    <row r="22" spans="1:8" ht="27" customHeight="1" x14ac:dyDescent="0.25">
      <c r="A22" s="55" t="s">
        <v>57</v>
      </c>
      <c r="B22" s="57">
        <v>569.38</v>
      </c>
      <c r="C22" s="57">
        <v>878.1</v>
      </c>
      <c r="D22" s="57">
        <v>205.78</v>
      </c>
    </row>
    <row r="23" spans="1:8" ht="27" customHeight="1" x14ac:dyDescent="0.25">
      <c r="A23" s="55" t="s">
        <v>121</v>
      </c>
      <c r="B23" s="57">
        <v>13032.18</v>
      </c>
      <c r="C23" s="57">
        <v>20098.490000000002</v>
      </c>
      <c r="D23" s="57">
        <v>4710.09</v>
      </c>
      <c r="E23" s="91"/>
      <c r="F23" s="118"/>
      <c r="G23" s="91"/>
    </row>
    <row r="24" spans="1:8" ht="27" customHeight="1" thickBot="1" x14ac:dyDescent="0.3">
      <c r="A24" s="56" t="s">
        <v>193</v>
      </c>
      <c r="B24" s="58">
        <v>4561.26</v>
      </c>
      <c r="C24" s="58">
        <v>7034.47</v>
      </c>
      <c r="D24" s="58">
        <v>1648.53</v>
      </c>
      <c r="E24" s="91"/>
      <c r="F24" s="91"/>
      <c r="G24" s="91"/>
      <c r="H24" s="91"/>
    </row>
    <row r="25" spans="1:8" ht="15.75" x14ac:dyDescent="0.25">
      <c r="A25" s="52"/>
      <c r="G25" s="91"/>
    </row>
    <row r="26" spans="1:8" ht="15.75" customHeight="1" x14ac:dyDescent="0.25">
      <c r="A26" s="181" t="s">
        <v>122</v>
      </c>
      <c r="B26" s="181"/>
      <c r="C26" s="181"/>
      <c r="D26" s="181"/>
    </row>
    <row r="27" spans="1:8" ht="15.75" x14ac:dyDescent="0.25">
      <c r="A27" s="52"/>
    </row>
    <row r="28" spans="1:8" ht="15.75" x14ac:dyDescent="0.25">
      <c r="A28" s="124" t="s">
        <v>123</v>
      </c>
      <c r="B28" s="124"/>
      <c r="C28" s="124"/>
      <c r="D28" s="124"/>
    </row>
    <row r="29" spans="1:8" ht="15.75" thickBot="1" x14ac:dyDescent="0.3">
      <c r="A29" s="53"/>
    </row>
    <row r="30" spans="1:8" ht="18.75" customHeight="1" thickBot="1" x14ac:dyDescent="0.3">
      <c r="A30" s="61" t="s">
        <v>124</v>
      </c>
      <c r="B30" s="120" t="s">
        <v>125</v>
      </c>
      <c r="C30" s="121"/>
      <c r="D30" s="122"/>
    </row>
    <row r="31" spans="1:8" ht="21" customHeight="1" thickBot="1" x14ac:dyDescent="0.3">
      <c r="A31" s="62">
        <v>606400</v>
      </c>
      <c r="B31" s="182" t="s">
        <v>100</v>
      </c>
      <c r="C31" s="183"/>
      <c r="D31" s="184"/>
    </row>
    <row r="32" spans="1:8" ht="21" customHeight="1" thickBot="1" x14ac:dyDescent="0.3">
      <c r="A32" s="62">
        <v>623000</v>
      </c>
      <c r="B32" s="182" t="s">
        <v>101</v>
      </c>
      <c r="C32" s="183"/>
      <c r="D32" s="184"/>
    </row>
    <row r="33" spans="1:4" ht="21" customHeight="1" thickBot="1" x14ac:dyDescent="0.3">
      <c r="A33" s="62">
        <v>635000</v>
      </c>
      <c r="B33" s="182" t="s">
        <v>126</v>
      </c>
      <c r="C33" s="183"/>
      <c r="D33" s="184"/>
    </row>
    <row r="34" spans="1:4" ht="21" customHeight="1" thickBot="1" x14ac:dyDescent="0.3">
      <c r="A34" s="60">
        <v>661000</v>
      </c>
      <c r="B34" s="185" t="s">
        <v>127</v>
      </c>
      <c r="C34" s="183"/>
      <c r="D34" s="123"/>
    </row>
    <row r="35" spans="1:4" ht="15.75" x14ac:dyDescent="0.25">
      <c r="A35" s="52"/>
    </row>
    <row r="36" spans="1:4" ht="15.75" x14ac:dyDescent="0.25">
      <c r="A36" s="124" t="s">
        <v>128</v>
      </c>
      <c r="B36" s="124"/>
      <c r="C36" s="124"/>
      <c r="D36" s="124"/>
    </row>
    <row r="37" spans="1:4" ht="15.75" x14ac:dyDescent="0.25">
      <c r="A37" s="52" t="s">
        <v>110</v>
      </c>
      <c r="B37" s="114">
        <v>6092.9</v>
      </c>
    </row>
    <row r="38" spans="1:4" ht="15.75" x14ac:dyDescent="0.25">
      <c r="A38" s="52" t="s">
        <v>111</v>
      </c>
      <c r="B38" s="114">
        <v>2611.1999999999998</v>
      </c>
    </row>
    <row r="39" spans="1:4" ht="15.75" x14ac:dyDescent="0.25">
      <c r="A39" s="52"/>
    </row>
    <row r="40" spans="1:4" ht="60" customHeight="1" x14ac:dyDescent="0.25">
      <c r="A40" s="181" t="s">
        <v>129</v>
      </c>
      <c r="B40" s="181"/>
      <c r="C40" s="181"/>
      <c r="D40" s="181"/>
    </row>
    <row r="42" spans="1:4" s="104" customFormat="1" x14ac:dyDescent="0.25">
      <c r="A42" s="104" t="s">
        <v>80</v>
      </c>
      <c r="B42" s="117">
        <v>234</v>
      </c>
    </row>
    <row r="43" spans="1:4" s="104" customFormat="1" x14ac:dyDescent="0.25">
      <c r="A43" s="104" t="s">
        <v>130</v>
      </c>
      <c r="B43" s="117">
        <v>1260</v>
      </c>
    </row>
  </sheetData>
  <mergeCells count="8">
    <mergeCell ref="A26:D26"/>
    <mergeCell ref="A7:D7"/>
    <mergeCell ref="A3:D3"/>
    <mergeCell ref="A40:D40"/>
    <mergeCell ref="B31:D31"/>
    <mergeCell ref="B32:D32"/>
    <mergeCell ref="B33:D33"/>
    <mergeCell ref="B34:C3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"/>
  <sheetViews>
    <sheetView showGridLines="0" zoomScale="175" zoomScaleNormal="175" workbookViewId="0">
      <selection activeCell="M4" sqref="M4"/>
    </sheetView>
  </sheetViews>
  <sheetFormatPr baseColWidth="10" defaultColWidth="11.42578125" defaultRowHeight="14.25" x14ac:dyDescent="0.2"/>
  <cols>
    <col min="1" max="6" width="11.42578125" style="148"/>
    <col min="7" max="7" width="14.85546875" style="148" bestFit="1" customWidth="1"/>
    <col min="8" max="8" width="10" style="148" customWidth="1"/>
    <col min="9" max="9" width="7.85546875" style="148" customWidth="1"/>
    <col min="10" max="10" width="6.28515625" style="148" customWidth="1"/>
    <col min="11" max="16384" width="11.42578125" style="148"/>
  </cols>
  <sheetData>
    <row r="1" spans="1:10" ht="15.75" x14ac:dyDescent="0.2">
      <c r="A1" s="186" t="s">
        <v>175</v>
      </c>
      <c r="B1" s="186"/>
      <c r="C1" s="186"/>
      <c r="D1" s="186"/>
      <c r="E1" s="186"/>
    </row>
    <row r="2" spans="1:10" ht="15" x14ac:dyDescent="0.2">
      <c r="A2" s="149"/>
    </row>
    <row r="3" spans="1:10" s="153" customFormat="1" ht="56.25" customHeight="1" x14ac:dyDescent="0.2">
      <c r="A3" s="187" t="s">
        <v>178</v>
      </c>
      <c r="B3" s="188"/>
      <c r="C3" s="188"/>
      <c r="D3" s="188"/>
      <c r="E3" s="188"/>
      <c r="F3" s="188"/>
      <c r="G3" s="150">
        <f>12*1.5</f>
        <v>18</v>
      </c>
      <c r="H3" s="151"/>
      <c r="I3" s="151"/>
      <c r="J3" s="152"/>
    </row>
    <row r="4" spans="1:10" s="153" customFormat="1" ht="30" customHeight="1" x14ac:dyDescent="0.2">
      <c r="A4" s="187" t="s">
        <v>180</v>
      </c>
      <c r="B4" s="188"/>
      <c r="C4" s="188"/>
      <c r="D4" s="188"/>
      <c r="E4" s="188"/>
      <c r="F4" s="188"/>
      <c r="G4" s="154">
        <v>60</v>
      </c>
      <c r="H4" s="154" t="s">
        <v>179</v>
      </c>
      <c r="I4" s="151"/>
      <c r="J4" s="152"/>
    </row>
    <row r="5" spans="1:10" s="153" customFormat="1" ht="23.25" customHeight="1" x14ac:dyDescent="0.2">
      <c r="A5" s="187" t="s">
        <v>181</v>
      </c>
      <c r="B5" s="188"/>
      <c r="C5" s="188"/>
      <c r="D5" s="188"/>
      <c r="E5" s="188"/>
      <c r="F5" s="188"/>
      <c r="G5" s="150">
        <v>14</v>
      </c>
      <c r="H5" s="154" t="s">
        <v>176</v>
      </c>
      <c r="I5" s="154">
        <v>100</v>
      </c>
      <c r="J5" s="155" t="s">
        <v>177</v>
      </c>
    </row>
    <row r="6" spans="1:10" s="153" customFormat="1" ht="28.5" customHeight="1" x14ac:dyDescent="0.2">
      <c r="A6" s="187" t="s">
        <v>182</v>
      </c>
      <c r="B6" s="188"/>
      <c r="C6" s="188"/>
      <c r="D6" s="188"/>
      <c r="E6" s="188"/>
      <c r="F6" s="188"/>
      <c r="G6" s="150">
        <v>17580</v>
      </c>
      <c r="H6" s="151"/>
      <c r="I6" s="151"/>
      <c r="J6" s="152"/>
    </row>
    <row r="7" spans="1:10" s="153" customFormat="1" ht="30.75" customHeight="1" x14ac:dyDescent="0.2">
      <c r="A7" s="189" t="s">
        <v>184</v>
      </c>
      <c r="B7" s="190"/>
      <c r="C7" s="190"/>
      <c r="D7" s="190"/>
      <c r="E7" s="190"/>
      <c r="F7" s="190"/>
      <c r="G7" s="156">
        <v>5</v>
      </c>
      <c r="H7" s="156" t="s">
        <v>183</v>
      </c>
      <c r="I7" s="151"/>
      <c r="J7" s="152"/>
    </row>
    <row r="8" spans="1:10" ht="39.75" customHeight="1" x14ac:dyDescent="0.2">
      <c r="A8" s="187" t="s">
        <v>185</v>
      </c>
      <c r="B8" s="188"/>
      <c r="C8" s="188"/>
      <c r="D8" s="188"/>
      <c r="E8" s="188"/>
      <c r="F8" s="188"/>
      <c r="G8" s="157">
        <v>5</v>
      </c>
      <c r="H8" s="157" t="s">
        <v>183</v>
      </c>
      <c r="I8" s="158"/>
      <c r="J8" s="159"/>
    </row>
    <row r="9" spans="1:10" ht="15" x14ac:dyDescent="0.2">
      <c r="A9" s="160" t="s">
        <v>186</v>
      </c>
      <c r="B9" s="158"/>
      <c r="C9" s="158"/>
      <c r="D9" s="158"/>
      <c r="E9" s="158"/>
      <c r="F9" s="158"/>
      <c r="G9" s="161">
        <v>0.05</v>
      </c>
      <c r="H9" s="158"/>
      <c r="I9" s="158"/>
      <c r="J9" s="159"/>
    </row>
  </sheetData>
  <mergeCells count="7">
    <mergeCell ref="A1:E1"/>
    <mergeCell ref="A3:F3"/>
    <mergeCell ref="A5:F5"/>
    <mergeCell ref="A6:F6"/>
    <mergeCell ref="A8:F8"/>
    <mergeCell ref="A4:F4"/>
    <mergeCell ref="A7:F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3"/>
  <sheetViews>
    <sheetView topLeftCell="A5" zoomScale="190" zoomScaleNormal="190" workbookViewId="0">
      <selection activeCell="G10" sqref="G10:G12"/>
    </sheetView>
  </sheetViews>
  <sheetFormatPr baseColWidth="10" defaultRowHeight="15" x14ac:dyDescent="0.25"/>
  <cols>
    <col min="1" max="1" width="33.7109375" customWidth="1"/>
    <col min="2" max="2" width="12.7109375" customWidth="1"/>
    <col min="3" max="3" width="13" customWidth="1"/>
    <col min="4" max="4" width="12.5703125" customWidth="1"/>
    <col min="6" max="6" width="7.5703125" customWidth="1"/>
    <col min="7" max="7" width="20" customWidth="1"/>
  </cols>
  <sheetData>
    <row r="1" spans="1:10" ht="15.75" x14ac:dyDescent="0.25">
      <c r="A1" s="196" t="s">
        <v>69</v>
      </c>
      <c r="B1" s="196"/>
      <c r="C1" s="196"/>
      <c r="D1" s="196"/>
      <c r="E1" s="196"/>
      <c r="F1" s="196"/>
    </row>
    <row r="3" spans="1:10" ht="30.75" customHeight="1" x14ac:dyDescent="0.25">
      <c r="B3" s="67" t="s">
        <v>70</v>
      </c>
      <c r="C3" s="67" t="s">
        <v>71</v>
      </c>
      <c r="D3" s="67" t="s">
        <v>72</v>
      </c>
      <c r="E3" s="68" t="s">
        <v>133</v>
      </c>
    </row>
    <row r="4" spans="1:10" x14ac:dyDescent="0.25">
      <c r="A4" s="22" t="s">
        <v>73</v>
      </c>
      <c r="B4" s="33">
        <f>Résultat!D21</f>
        <v>20236</v>
      </c>
      <c r="C4" s="33"/>
      <c r="D4" s="34">
        <f>B4+C4</f>
        <v>20236</v>
      </c>
      <c r="E4" s="69">
        <f>Résultat!D21</f>
        <v>20236</v>
      </c>
      <c r="F4" t="str">
        <f>IF(D4=E4,"ok","erreur")</f>
        <v>ok</v>
      </c>
    </row>
    <row r="5" spans="1:10" x14ac:dyDescent="0.25">
      <c r="A5" s="23" t="s">
        <v>74</v>
      </c>
      <c r="B5" s="33">
        <f>'Annexe 1'!B4</f>
        <v>10976</v>
      </c>
      <c r="C5" s="33">
        <f>'Annexe 1'!B5</f>
        <v>10264</v>
      </c>
      <c r="D5" s="34">
        <f>B5+C5</f>
        <v>21240</v>
      </c>
      <c r="E5" s="70">
        <f>Résultat!D22</f>
        <v>21240</v>
      </c>
      <c r="F5" t="str">
        <f t="shared" ref="F5:F10" si="0">IF(D5=E5,"ok","erreur")</f>
        <v>ok</v>
      </c>
    </row>
    <row r="6" spans="1:10" x14ac:dyDescent="0.25">
      <c r="A6" s="23" t="s">
        <v>75</v>
      </c>
      <c r="B6" s="33">
        <f>Résultat!D23</f>
        <v>2646</v>
      </c>
      <c r="C6" s="33"/>
      <c r="D6" s="34">
        <f t="shared" ref="D6:D9" si="1">B6+C6</f>
        <v>2646</v>
      </c>
      <c r="E6" s="70">
        <f>Résultat!D23</f>
        <v>2646</v>
      </c>
      <c r="F6" t="str">
        <f t="shared" si="0"/>
        <v>ok</v>
      </c>
    </row>
    <row r="7" spans="1:10" x14ac:dyDescent="0.25">
      <c r="A7" s="23" t="s">
        <v>76</v>
      </c>
      <c r="B7" s="33"/>
      <c r="C7" s="33">
        <f>Résultat!D24</f>
        <v>50454</v>
      </c>
      <c r="D7" s="34">
        <f t="shared" si="1"/>
        <v>50454</v>
      </c>
      <c r="E7" s="70">
        <f>Résultat!D24</f>
        <v>50454</v>
      </c>
      <c r="F7" t="str">
        <f t="shared" si="0"/>
        <v>ok</v>
      </c>
    </row>
    <row r="8" spans="1:10" x14ac:dyDescent="0.25">
      <c r="A8" s="23" t="s">
        <v>77</v>
      </c>
      <c r="B8" s="33">
        <f>Résultat!D25</f>
        <v>814.5</v>
      </c>
      <c r="C8" s="35"/>
      <c r="D8" s="34">
        <f>B8+C8</f>
        <v>814.5</v>
      </c>
      <c r="E8" s="70">
        <f>Résultat!D25</f>
        <v>814.5</v>
      </c>
      <c r="F8" t="str">
        <f t="shared" si="0"/>
        <v>ok</v>
      </c>
    </row>
    <row r="9" spans="1:10" x14ac:dyDescent="0.25">
      <c r="A9" s="24" t="s">
        <v>78</v>
      </c>
      <c r="B9" s="36">
        <f>Résultat!D26</f>
        <v>468.5</v>
      </c>
      <c r="C9" s="37"/>
      <c r="D9" s="38">
        <f t="shared" si="1"/>
        <v>468.5</v>
      </c>
      <c r="E9" s="71">
        <f>Résultat!D26</f>
        <v>468.5</v>
      </c>
      <c r="F9" t="str">
        <f t="shared" si="0"/>
        <v>ok</v>
      </c>
    </row>
    <row r="10" spans="1:10" x14ac:dyDescent="0.25">
      <c r="A10" s="25" t="s">
        <v>79</v>
      </c>
      <c r="B10" s="39">
        <f>SUM(B4:B9)</f>
        <v>35141</v>
      </c>
      <c r="C10" s="39">
        <f t="shared" ref="C10:D10" si="2">SUM(C4:C9)</f>
        <v>60718</v>
      </c>
      <c r="D10" s="40">
        <f t="shared" si="2"/>
        <v>95859</v>
      </c>
      <c r="E10" s="15">
        <f>SUM(E4:E9)</f>
        <v>95859</v>
      </c>
      <c r="F10" t="str">
        <f t="shared" si="0"/>
        <v>ok</v>
      </c>
    </row>
    <row r="11" spans="1:10" x14ac:dyDescent="0.25">
      <c r="A11" s="26" t="s">
        <v>80</v>
      </c>
      <c r="B11" s="64">
        <f>'Annexe 1'!B42</f>
        <v>234</v>
      </c>
      <c r="C11" s="64"/>
      <c r="D11" s="72"/>
      <c r="H11" s="7"/>
    </row>
    <row r="12" spans="1:10" x14ac:dyDescent="0.25">
      <c r="A12" s="26" t="s">
        <v>81</v>
      </c>
      <c r="B12" s="65"/>
      <c r="C12" s="65">
        <f>'Annexe 1'!B43</f>
        <v>1260</v>
      </c>
      <c r="D12" s="73"/>
      <c r="H12" s="7"/>
    </row>
    <row r="13" spans="1:10" x14ac:dyDescent="0.25">
      <c r="A13" s="3" t="s">
        <v>82</v>
      </c>
      <c r="B13" s="41">
        <f>B10/B11</f>
        <v>150.17521367521368</v>
      </c>
      <c r="C13" s="42">
        <f>C10/C12</f>
        <v>48.18888888888889</v>
      </c>
      <c r="D13" s="74"/>
      <c r="J13" s="91"/>
    </row>
    <row r="14" spans="1:10" ht="18" customHeight="1" x14ac:dyDescent="0.25">
      <c r="A14" s="197" t="s">
        <v>83</v>
      </c>
      <c r="B14" s="198"/>
      <c r="C14" s="198"/>
      <c r="D14" s="199"/>
    </row>
    <row r="15" spans="1:10" ht="18" customHeight="1" x14ac:dyDescent="0.25">
      <c r="A15" s="27" t="s">
        <v>84</v>
      </c>
      <c r="B15" s="43">
        <f>Résultat!C3</f>
        <v>1142.4000000000001</v>
      </c>
      <c r="C15" s="43">
        <f>Tableau3233[Débit]</f>
        <v>14258.9</v>
      </c>
      <c r="D15" s="43">
        <f>B15+C15</f>
        <v>15401.3</v>
      </c>
      <c r="E15" s="69">
        <f>Tableau3233[Débit]+Résultat!C3</f>
        <v>15401.3</v>
      </c>
      <c r="F15" t="str">
        <f>IF(D15=E15,"ok","erreur")</f>
        <v>ok</v>
      </c>
    </row>
    <row r="16" spans="1:10" ht="18" customHeight="1" x14ac:dyDescent="0.25">
      <c r="A16" s="28" t="s">
        <v>85</v>
      </c>
      <c r="B16" s="44">
        <f>Résultat!C5</f>
        <v>455.9</v>
      </c>
      <c r="C16" s="44">
        <f>Résultat!C4</f>
        <v>4687.3999999999996</v>
      </c>
      <c r="D16" s="44">
        <f t="shared" ref="D16:D22" si="3">B16+C16</f>
        <v>5143.2999999999993</v>
      </c>
      <c r="E16" s="70">
        <f>Résultat!C4+Résultat!C5</f>
        <v>5143.2999999999993</v>
      </c>
      <c r="F16" t="str">
        <f t="shared" ref="F16:F19" si="4">IF(D16=E16,"ok","erreur")</f>
        <v>ok</v>
      </c>
    </row>
    <row r="17" spans="1:6" ht="18" customHeight="1" x14ac:dyDescent="0.25">
      <c r="A17" s="28" t="s">
        <v>86</v>
      </c>
      <c r="B17" s="44">
        <f>'Annexe 1'!B12</f>
        <v>1078.4000000000001</v>
      </c>
      <c r="C17" s="44">
        <f>'Annexe 1'!C12</f>
        <v>608.29999999999995</v>
      </c>
      <c r="D17" s="44">
        <f t="shared" si="3"/>
        <v>1686.7</v>
      </c>
      <c r="E17" s="70">
        <f>Résultat!C6</f>
        <v>1686.7</v>
      </c>
      <c r="F17" t="str">
        <f t="shared" si="4"/>
        <v>ok</v>
      </c>
    </row>
    <row r="18" spans="1:6" ht="18" customHeight="1" x14ac:dyDescent="0.25">
      <c r="A18" s="28" t="s">
        <v>87</v>
      </c>
      <c r="B18" s="44">
        <f>'Annexe 1'!B13</f>
        <v>4272.8</v>
      </c>
      <c r="C18" s="44">
        <f>'Annexe 1'!C13</f>
        <v>2636.4</v>
      </c>
      <c r="D18" s="44">
        <f t="shared" si="3"/>
        <v>6909.2000000000007</v>
      </c>
      <c r="E18" s="70">
        <f>Résultat!C7</f>
        <v>6909.2</v>
      </c>
      <c r="F18" t="str">
        <f t="shared" si="4"/>
        <v>ok</v>
      </c>
    </row>
    <row r="19" spans="1:6" ht="18" customHeight="1" x14ac:dyDescent="0.25">
      <c r="A19" s="29" t="s">
        <v>88</v>
      </c>
      <c r="B19" s="45">
        <f>'Annexe 1'!B14</f>
        <v>892.2</v>
      </c>
      <c r="C19" s="45">
        <f>'Annexe 1'!C14</f>
        <v>77.3</v>
      </c>
      <c r="D19" s="45">
        <f t="shared" si="3"/>
        <v>969.5</v>
      </c>
      <c r="E19" s="71">
        <f>Résultat!C8</f>
        <v>969.5</v>
      </c>
      <c r="F19" t="str">
        <f t="shared" si="4"/>
        <v>ok</v>
      </c>
    </row>
    <row r="20" spans="1:6" ht="18" customHeight="1" x14ac:dyDescent="0.25">
      <c r="A20" s="25" t="s">
        <v>89</v>
      </c>
      <c r="B20" s="46">
        <f>SUM(B15:B19)</f>
        <v>7841.7</v>
      </c>
      <c r="C20" s="46">
        <f>SUM(C15:C19)</f>
        <v>22268.3</v>
      </c>
      <c r="D20" s="46">
        <f>SUM(D15:D19)</f>
        <v>30110</v>
      </c>
    </row>
    <row r="21" spans="1:6" x14ac:dyDescent="0.25">
      <c r="A21" s="25" t="s">
        <v>131</v>
      </c>
      <c r="B21" s="46">
        <f>B20/B11</f>
        <v>33.511538461538464</v>
      </c>
      <c r="C21" s="46">
        <f>C20/C12</f>
        <v>17.673253968253967</v>
      </c>
      <c r="D21" s="46"/>
    </row>
    <row r="22" spans="1:6" x14ac:dyDescent="0.25">
      <c r="A22" s="25" t="s">
        <v>136</v>
      </c>
      <c r="B22" s="46">
        <f>B10-B20</f>
        <v>27299.3</v>
      </c>
      <c r="C22" s="46">
        <f>C10-C20</f>
        <v>38449.699999999997</v>
      </c>
      <c r="D22" s="46">
        <f t="shared" si="3"/>
        <v>65749</v>
      </c>
    </row>
    <row r="23" spans="1:6" x14ac:dyDescent="0.25">
      <c r="A23" s="25" t="s">
        <v>267</v>
      </c>
      <c r="B23" s="46">
        <f>+B22/B11</f>
        <v>116.66367521367521</v>
      </c>
      <c r="C23" s="46">
        <f>+C22/C12</f>
        <v>30.51563492063492</v>
      </c>
      <c r="D23" s="46"/>
    </row>
    <row r="24" spans="1:6" x14ac:dyDescent="0.25">
      <c r="A24" s="25" t="s">
        <v>134</v>
      </c>
      <c r="B24" s="30">
        <f>B22/B10</f>
        <v>0.77685040266355532</v>
      </c>
      <c r="C24" s="30">
        <f>C22/C10</f>
        <v>0.63325043644388812</v>
      </c>
      <c r="D24" s="30">
        <f>D22/D10</f>
        <v>0.68589282174860988</v>
      </c>
    </row>
    <row r="25" spans="1:6" ht="11.25" customHeight="1" x14ac:dyDescent="0.25">
      <c r="A25" s="200" t="s">
        <v>132</v>
      </c>
      <c r="B25" s="201"/>
      <c r="C25" s="201"/>
      <c r="D25" s="201"/>
    </row>
    <row r="26" spans="1:6" ht="3" customHeight="1" x14ac:dyDescent="0.25">
      <c r="A26" s="27" t="s">
        <v>116</v>
      </c>
      <c r="B26" s="43">
        <f>'Annexe 1'!B15</f>
        <v>401.3</v>
      </c>
      <c r="C26" s="43">
        <f>'Annexe 1'!C15</f>
        <v>147.5</v>
      </c>
      <c r="D26" s="47">
        <f>B26+C26</f>
        <v>548.79999999999995</v>
      </c>
      <c r="E26" s="69">
        <f>Résultat!C10</f>
        <v>548.79999999999995</v>
      </c>
      <c r="F26" t="str">
        <f>IF(D26=E26,"ok","erreur")</f>
        <v>ok</v>
      </c>
    </row>
    <row r="27" spans="1:6" ht="3" customHeight="1" x14ac:dyDescent="0.25">
      <c r="A27" s="28" t="s">
        <v>91</v>
      </c>
      <c r="B27" s="44">
        <f>'Annexe 1'!B16</f>
        <v>365.8</v>
      </c>
      <c r="C27" s="44">
        <f>'Annexe 1'!C16</f>
        <v>91.5</v>
      </c>
      <c r="D27" s="48">
        <f t="shared" ref="D27:D33" si="5">B27+C27</f>
        <v>457.3</v>
      </c>
      <c r="E27" s="70">
        <f>Résultat!C11</f>
        <v>457.3</v>
      </c>
      <c r="F27" t="str">
        <f t="shared" ref="F27:F33" si="6">IF(D27=E27,"ok","erreur")</f>
        <v>ok</v>
      </c>
    </row>
    <row r="28" spans="1:6" ht="3" customHeight="1" x14ac:dyDescent="0.25">
      <c r="A28" s="28" t="s">
        <v>92</v>
      </c>
      <c r="B28" s="44">
        <f>Résultat!C12</f>
        <v>914</v>
      </c>
      <c r="C28" s="44"/>
      <c r="D28" s="48">
        <f t="shared" si="5"/>
        <v>914</v>
      </c>
      <c r="E28" s="70">
        <f>Résultat!C12</f>
        <v>914</v>
      </c>
      <c r="F28" t="str">
        <f t="shared" si="6"/>
        <v>ok</v>
      </c>
    </row>
    <row r="29" spans="1:6" ht="3" customHeight="1" x14ac:dyDescent="0.25">
      <c r="A29" s="28" t="s">
        <v>93</v>
      </c>
      <c r="B29" s="44">
        <f>'Annexe 1'!B17</f>
        <v>823.1</v>
      </c>
      <c r="C29" s="44">
        <f>'Annexe 1'!C17</f>
        <v>91.5</v>
      </c>
      <c r="D29" s="48">
        <f t="shared" si="5"/>
        <v>914.6</v>
      </c>
      <c r="E29" s="70">
        <f>Résultat!C14</f>
        <v>914.6</v>
      </c>
      <c r="F29" t="str">
        <f t="shared" si="6"/>
        <v>ok</v>
      </c>
    </row>
    <row r="30" spans="1:6" ht="3" customHeight="1" x14ac:dyDescent="0.25">
      <c r="A30" s="28" t="s">
        <v>94</v>
      </c>
      <c r="B30" s="44">
        <f>'Annexe 1'!B22</f>
        <v>569.38</v>
      </c>
      <c r="C30" s="44">
        <f>'Annexe 1'!C22</f>
        <v>878.1</v>
      </c>
      <c r="D30" s="48">
        <f>B30+C30</f>
        <v>1447.48</v>
      </c>
      <c r="E30" s="70"/>
    </row>
    <row r="31" spans="1:6" ht="3" customHeight="1" x14ac:dyDescent="0.25">
      <c r="A31" s="28" t="s">
        <v>95</v>
      </c>
      <c r="B31" s="44">
        <f>'Annexe 1'!B23</f>
        <v>13032.18</v>
      </c>
      <c r="C31" s="44">
        <f>'Annexe 1'!C23</f>
        <v>20098.490000000002</v>
      </c>
      <c r="D31" s="48">
        <f>B31+C31</f>
        <v>33130.67</v>
      </c>
      <c r="E31" s="28"/>
    </row>
    <row r="32" spans="1:6" ht="3" customHeight="1" x14ac:dyDescent="0.25">
      <c r="A32" s="28" t="s">
        <v>96</v>
      </c>
      <c r="B32" s="44">
        <f>'Annexe 1'!B24</f>
        <v>4561.26</v>
      </c>
      <c r="C32" s="44">
        <f>'Annexe 1'!C24</f>
        <v>7034.47</v>
      </c>
      <c r="D32" s="48">
        <f>B32+C32</f>
        <v>11595.73</v>
      </c>
      <c r="E32" s="28"/>
    </row>
    <row r="33" spans="1:7" ht="3" customHeight="1" x14ac:dyDescent="0.25">
      <c r="A33" s="29" t="s">
        <v>257</v>
      </c>
      <c r="B33" s="45">
        <f>'Annexe 1'!B37</f>
        <v>6092.9</v>
      </c>
      <c r="C33" s="45">
        <f>'Annexe 1'!B38</f>
        <v>2611.1999999999998</v>
      </c>
      <c r="D33" s="49">
        <f t="shared" si="5"/>
        <v>8704.0999999999985</v>
      </c>
      <c r="E33" s="71">
        <f>Résultat!C20</f>
        <v>8704.1</v>
      </c>
      <c r="F33" t="str">
        <f t="shared" si="6"/>
        <v>ok</v>
      </c>
    </row>
    <row r="34" spans="1:7" ht="11.25" customHeight="1" x14ac:dyDescent="0.25">
      <c r="A34" s="25" t="s">
        <v>98</v>
      </c>
      <c r="B34" s="50">
        <f>SUM(B26:B33)</f>
        <v>26759.919999999998</v>
      </c>
      <c r="C34" s="50">
        <f t="shared" ref="C34:D34" si="7">SUM(C26:C33)</f>
        <v>30952.760000000002</v>
      </c>
      <c r="D34" s="50">
        <f t="shared" si="7"/>
        <v>57712.68</v>
      </c>
    </row>
    <row r="35" spans="1:7" x14ac:dyDescent="0.25">
      <c r="A35" s="25" t="s">
        <v>137</v>
      </c>
      <c r="B35" s="46">
        <f>B22-B34</f>
        <v>539.38000000000102</v>
      </c>
      <c r="C35" s="46">
        <f t="shared" ref="C35:D35" si="8">C22-C34</f>
        <v>7496.9399999999951</v>
      </c>
      <c r="D35" s="46">
        <f t="shared" si="8"/>
        <v>8036.32</v>
      </c>
      <c r="F35" s="31"/>
      <c r="G35" s="31"/>
    </row>
    <row r="36" spans="1:7" x14ac:dyDescent="0.25">
      <c r="A36" s="25" t="s">
        <v>135</v>
      </c>
      <c r="B36" s="30">
        <f>B35/B10</f>
        <v>1.5349022509319627E-2</v>
      </c>
      <c r="C36" s="30">
        <f>C35/C10</f>
        <v>0.12347145821667373</v>
      </c>
      <c r="D36" s="30">
        <f>D35/D10</f>
        <v>8.383479902773866E-2</v>
      </c>
      <c r="F36" s="31"/>
      <c r="G36" s="31"/>
    </row>
    <row r="37" spans="1:7" ht="13.5" customHeight="1" x14ac:dyDescent="0.25">
      <c r="A37" s="197" t="s">
        <v>99</v>
      </c>
      <c r="B37" s="202"/>
      <c r="C37" s="202"/>
      <c r="D37" s="203"/>
    </row>
    <row r="38" spans="1:7" ht="3.75" customHeight="1" x14ac:dyDescent="0.25">
      <c r="A38" s="22" t="s">
        <v>100</v>
      </c>
      <c r="B38" s="75"/>
      <c r="C38" s="76"/>
      <c r="D38" s="43">
        <f>Résultat!C9</f>
        <v>198.4</v>
      </c>
      <c r="E38" s="69">
        <f>Résultat!C9</f>
        <v>198.4</v>
      </c>
      <c r="F38" t="str">
        <f t="shared" ref="F38:F39" si="9">IF(D38=E38,"ok","erreur")</f>
        <v>ok</v>
      </c>
    </row>
    <row r="39" spans="1:7" ht="3.75" customHeight="1" x14ac:dyDescent="0.25">
      <c r="A39" s="23" t="s">
        <v>101</v>
      </c>
      <c r="B39" s="77"/>
      <c r="C39" s="78"/>
      <c r="D39" s="44">
        <f>Résultat!C13</f>
        <v>184.3</v>
      </c>
      <c r="E39" s="70">
        <f>Résultat!C13</f>
        <v>184.3</v>
      </c>
      <c r="F39" t="str">
        <f t="shared" si="9"/>
        <v>ok</v>
      </c>
    </row>
    <row r="40" spans="1:7" ht="3.75" customHeight="1" x14ac:dyDescent="0.25">
      <c r="A40" s="23" t="s">
        <v>94</v>
      </c>
      <c r="B40" s="77"/>
      <c r="C40" s="78"/>
      <c r="D40" s="44">
        <f>'Annexe 1'!D22</f>
        <v>205.78</v>
      </c>
      <c r="E40" s="70">
        <f>Résultat!C15</f>
        <v>1653.26</v>
      </c>
      <c r="F40" t="str">
        <f>IF(D40+D30=E40,"ok","erreur")</f>
        <v>ok</v>
      </c>
    </row>
    <row r="41" spans="1:7" ht="3.75" customHeight="1" x14ac:dyDescent="0.25">
      <c r="A41" s="23" t="s">
        <v>102</v>
      </c>
      <c r="B41" s="77"/>
      <c r="C41" s="78"/>
      <c r="D41" s="44">
        <f>Résultat!C16</f>
        <v>833.5</v>
      </c>
      <c r="E41" s="70">
        <f>Résultat!C16</f>
        <v>833.5</v>
      </c>
      <c r="F41" t="str">
        <f>IF(D41=E41,"ok","erreur")</f>
        <v>ok</v>
      </c>
    </row>
    <row r="42" spans="1:7" ht="3.75" customHeight="1" x14ac:dyDescent="0.25">
      <c r="A42" s="23" t="s">
        <v>103</v>
      </c>
      <c r="B42" s="77"/>
      <c r="C42" s="78"/>
      <c r="D42" s="44">
        <f>'Annexe 1'!D23</f>
        <v>4710.09</v>
      </c>
      <c r="E42" s="70">
        <f>Résultat!C17</f>
        <v>37840.76</v>
      </c>
      <c r="F42" t="str">
        <f>IF(D42+D31=E42,"ok","erreur")</f>
        <v>ok</v>
      </c>
    </row>
    <row r="43" spans="1:7" ht="3.75" customHeight="1" x14ac:dyDescent="0.25">
      <c r="A43" s="23" t="s">
        <v>96</v>
      </c>
      <c r="B43" s="77"/>
      <c r="C43" s="78"/>
      <c r="D43" s="44">
        <f>'Annexe 1'!D24</f>
        <v>1648.53</v>
      </c>
      <c r="E43" s="70">
        <f>Résultat!C18</f>
        <v>13244.26</v>
      </c>
      <c r="F43" t="str">
        <f>IF(D43+D32=E43,"ok","erreur")</f>
        <v>ok</v>
      </c>
    </row>
    <row r="44" spans="1:7" ht="3.75" customHeight="1" x14ac:dyDescent="0.25">
      <c r="A44" s="23" t="s">
        <v>104</v>
      </c>
      <c r="B44" s="79"/>
      <c r="C44" s="78"/>
      <c r="D44" s="44">
        <f>Résultat!C19</f>
        <v>1225</v>
      </c>
      <c r="E44" s="71">
        <f>Résultat!C19</f>
        <v>1225</v>
      </c>
      <c r="F44" t="str">
        <f>IF(D44=E44,"ok","erreur")</f>
        <v>ok</v>
      </c>
    </row>
    <row r="45" spans="1:7" ht="13.5" customHeight="1" x14ac:dyDescent="0.25">
      <c r="A45" s="193" t="s">
        <v>105</v>
      </c>
      <c r="B45" s="194"/>
      <c r="C45" s="195"/>
      <c r="D45" s="46">
        <f>SUM(D38:D44)</f>
        <v>9005.5999999999985</v>
      </c>
      <c r="F45" t="s">
        <v>208</v>
      </c>
    </row>
    <row r="46" spans="1:7" x14ac:dyDescent="0.25">
      <c r="A46" s="193" t="s">
        <v>106</v>
      </c>
      <c r="B46" s="194"/>
      <c r="C46" s="195"/>
      <c r="D46" s="46">
        <f>D35-D45</f>
        <v>-969.27999999999884</v>
      </c>
      <c r="E46" s="66">
        <f>Résultat!D28</f>
        <v>-969.28000000001339</v>
      </c>
      <c r="F46" s="91">
        <f>D46-E46</f>
        <v>1.4551915228366852E-11</v>
      </c>
      <c r="G46" s="91"/>
    </row>
    <row r="47" spans="1:7" x14ac:dyDescent="0.25">
      <c r="A47" s="86" t="s">
        <v>205</v>
      </c>
      <c r="B47" s="87">
        <f>ROUNDUP(B34/B24,0)</f>
        <v>34447</v>
      </c>
      <c r="C47" s="87">
        <f>ROUNDUP(C34/C24,0)</f>
        <v>48880</v>
      </c>
      <c r="D47" s="80"/>
    </row>
    <row r="48" spans="1:7" x14ac:dyDescent="0.25">
      <c r="A48" s="86" t="s">
        <v>107</v>
      </c>
      <c r="B48" s="88">
        <f>ROUNDUP(B47/B13,0)</f>
        <v>230</v>
      </c>
      <c r="C48" s="88">
        <f>ROUNDUP(C47/C13,0)</f>
        <v>1015</v>
      </c>
      <c r="D48" s="81"/>
    </row>
    <row r="49" spans="1:4" x14ac:dyDescent="0.25">
      <c r="A49" s="86" t="s">
        <v>191</v>
      </c>
      <c r="B49" s="87">
        <f>B10-B47</f>
        <v>694</v>
      </c>
      <c r="C49" s="87">
        <f>C10-C47</f>
        <v>11838</v>
      </c>
    </row>
    <row r="50" spans="1:4" x14ac:dyDescent="0.25">
      <c r="A50" s="86" t="s">
        <v>192</v>
      </c>
      <c r="B50" s="113">
        <f>B49/B10</f>
        <v>1.9749011126604252E-2</v>
      </c>
      <c r="C50" s="113">
        <f>C49/C10</f>
        <v>0.1949668961428242</v>
      </c>
    </row>
    <row r="51" spans="1:4" x14ac:dyDescent="0.25">
      <c r="A51" s="191" t="s">
        <v>256</v>
      </c>
      <c r="B51" s="192"/>
      <c r="C51" s="192"/>
      <c r="D51" s="192"/>
    </row>
    <row r="52" spans="1:4" x14ac:dyDescent="0.25">
      <c r="A52" s="191"/>
      <c r="B52" s="192"/>
      <c r="C52" s="192"/>
      <c r="D52" s="192"/>
    </row>
    <row r="53" spans="1:4" x14ac:dyDescent="0.25">
      <c r="A53" s="191"/>
      <c r="B53" s="192"/>
      <c r="C53" s="192"/>
      <c r="D53" s="192"/>
    </row>
  </sheetData>
  <mergeCells count="9">
    <mergeCell ref="A51:D51"/>
    <mergeCell ref="A52:D52"/>
    <mergeCell ref="A53:D53"/>
    <mergeCell ref="A46:C46"/>
    <mergeCell ref="A1:F1"/>
    <mergeCell ref="A14:D14"/>
    <mergeCell ref="A25:D25"/>
    <mergeCell ref="A37:D37"/>
    <mergeCell ref="A45:C45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&amp;C&amp;F&amp;A</oddFooter>
  </headerFooter>
  <ignoredErrors>
    <ignoredError sqref="D7 F4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2"/>
  <sheetViews>
    <sheetView showGridLines="0" topLeftCell="A28" zoomScale="235" zoomScaleNormal="235" workbookViewId="0">
      <selection activeCell="D11" sqref="D11"/>
    </sheetView>
  </sheetViews>
  <sheetFormatPr baseColWidth="10" defaultRowHeight="12.75" x14ac:dyDescent="0.2"/>
  <cols>
    <col min="1" max="1" width="20.42578125" style="99" customWidth="1"/>
    <col min="2" max="6" width="11.85546875" style="99" bestFit="1" customWidth="1"/>
    <col min="7" max="7" width="7.7109375" style="99" customWidth="1"/>
    <col min="8" max="8" width="16.7109375" style="99" customWidth="1"/>
    <col min="9" max="256" width="11.42578125" style="99"/>
    <col min="257" max="257" width="18.28515625" style="99" customWidth="1"/>
    <col min="258" max="263" width="11.42578125" style="99"/>
    <col min="264" max="264" width="16.7109375" style="99" customWidth="1"/>
    <col min="265" max="512" width="11.42578125" style="99"/>
    <col min="513" max="513" width="18.28515625" style="99" customWidth="1"/>
    <col min="514" max="519" width="11.42578125" style="99"/>
    <col min="520" max="520" width="16.7109375" style="99" customWidth="1"/>
    <col min="521" max="768" width="11.42578125" style="99"/>
    <col min="769" max="769" width="18.28515625" style="99" customWidth="1"/>
    <col min="770" max="775" width="11.42578125" style="99"/>
    <col min="776" max="776" width="16.7109375" style="99" customWidth="1"/>
    <col min="777" max="1024" width="11.42578125" style="99"/>
    <col min="1025" max="1025" width="18.28515625" style="99" customWidth="1"/>
    <col min="1026" max="1031" width="11.42578125" style="99"/>
    <col min="1032" max="1032" width="16.7109375" style="99" customWidth="1"/>
    <col min="1033" max="1280" width="11.42578125" style="99"/>
    <col min="1281" max="1281" width="18.28515625" style="99" customWidth="1"/>
    <col min="1282" max="1287" width="11.42578125" style="99"/>
    <col min="1288" max="1288" width="16.7109375" style="99" customWidth="1"/>
    <col min="1289" max="1536" width="11.42578125" style="99"/>
    <col min="1537" max="1537" width="18.28515625" style="99" customWidth="1"/>
    <col min="1538" max="1543" width="11.42578125" style="99"/>
    <col min="1544" max="1544" width="16.7109375" style="99" customWidth="1"/>
    <col min="1545" max="1792" width="11.42578125" style="99"/>
    <col min="1793" max="1793" width="18.28515625" style="99" customWidth="1"/>
    <col min="1794" max="1799" width="11.42578125" style="99"/>
    <col min="1800" max="1800" width="16.7109375" style="99" customWidth="1"/>
    <col min="1801" max="2048" width="11.42578125" style="99"/>
    <col min="2049" max="2049" width="18.28515625" style="99" customWidth="1"/>
    <col min="2050" max="2055" width="11.42578125" style="99"/>
    <col min="2056" max="2056" width="16.7109375" style="99" customWidth="1"/>
    <col min="2057" max="2304" width="11.42578125" style="99"/>
    <col min="2305" max="2305" width="18.28515625" style="99" customWidth="1"/>
    <col min="2306" max="2311" width="11.42578125" style="99"/>
    <col min="2312" max="2312" width="16.7109375" style="99" customWidth="1"/>
    <col min="2313" max="2560" width="11.42578125" style="99"/>
    <col min="2561" max="2561" width="18.28515625" style="99" customWidth="1"/>
    <col min="2562" max="2567" width="11.42578125" style="99"/>
    <col min="2568" max="2568" width="16.7109375" style="99" customWidth="1"/>
    <col min="2569" max="2816" width="11.42578125" style="99"/>
    <col min="2817" max="2817" width="18.28515625" style="99" customWidth="1"/>
    <col min="2818" max="2823" width="11.42578125" style="99"/>
    <col min="2824" max="2824" width="16.7109375" style="99" customWidth="1"/>
    <col min="2825" max="3072" width="11.42578125" style="99"/>
    <col min="3073" max="3073" width="18.28515625" style="99" customWidth="1"/>
    <col min="3074" max="3079" width="11.42578125" style="99"/>
    <col min="3080" max="3080" width="16.7109375" style="99" customWidth="1"/>
    <col min="3081" max="3328" width="11.42578125" style="99"/>
    <col min="3329" max="3329" width="18.28515625" style="99" customWidth="1"/>
    <col min="3330" max="3335" width="11.42578125" style="99"/>
    <col min="3336" max="3336" width="16.7109375" style="99" customWidth="1"/>
    <col min="3337" max="3584" width="11.42578125" style="99"/>
    <col min="3585" max="3585" width="18.28515625" style="99" customWidth="1"/>
    <col min="3586" max="3591" width="11.42578125" style="99"/>
    <col min="3592" max="3592" width="16.7109375" style="99" customWidth="1"/>
    <col min="3593" max="3840" width="11.42578125" style="99"/>
    <col min="3841" max="3841" width="18.28515625" style="99" customWidth="1"/>
    <col min="3842" max="3847" width="11.42578125" style="99"/>
    <col min="3848" max="3848" width="16.7109375" style="99" customWidth="1"/>
    <col min="3849" max="4096" width="11.42578125" style="99"/>
    <col min="4097" max="4097" width="18.28515625" style="99" customWidth="1"/>
    <col min="4098" max="4103" width="11.42578125" style="99"/>
    <col min="4104" max="4104" width="16.7109375" style="99" customWidth="1"/>
    <col min="4105" max="4352" width="11.42578125" style="99"/>
    <col min="4353" max="4353" width="18.28515625" style="99" customWidth="1"/>
    <col min="4354" max="4359" width="11.42578125" style="99"/>
    <col min="4360" max="4360" width="16.7109375" style="99" customWidth="1"/>
    <col min="4361" max="4608" width="11.42578125" style="99"/>
    <col min="4609" max="4609" width="18.28515625" style="99" customWidth="1"/>
    <col min="4610" max="4615" width="11.42578125" style="99"/>
    <col min="4616" max="4616" width="16.7109375" style="99" customWidth="1"/>
    <col min="4617" max="4864" width="11.42578125" style="99"/>
    <col min="4865" max="4865" width="18.28515625" style="99" customWidth="1"/>
    <col min="4866" max="4871" width="11.42578125" style="99"/>
    <col min="4872" max="4872" width="16.7109375" style="99" customWidth="1"/>
    <col min="4873" max="5120" width="11.42578125" style="99"/>
    <col min="5121" max="5121" width="18.28515625" style="99" customWidth="1"/>
    <col min="5122" max="5127" width="11.42578125" style="99"/>
    <col min="5128" max="5128" width="16.7109375" style="99" customWidth="1"/>
    <col min="5129" max="5376" width="11.42578125" style="99"/>
    <col min="5377" max="5377" width="18.28515625" style="99" customWidth="1"/>
    <col min="5378" max="5383" width="11.42578125" style="99"/>
    <col min="5384" max="5384" width="16.7109375" style="99" customWidth="1"/>
    <col min="5385" max="5632" width="11.42578125" style="99"/>
    <col min="5633" max="5633" width="18.28515625" style="99" customWidth="1"/>
    <col min="5634" max="5639" width="11.42578125" style="99"/>
    <col min="5640" max="5640" width="16.7109375" style="99" customWidth="1"/>
    <col min="5641" max="5888" width="11.42578125" style="99"/>
    <col min="5889" max="5889" width="18.28515625" style="99" customWidth="1"/>
    <col min="5890" max="5895" width="11.42578125" style="99"/>
    <col min="5896" max="5896" width="16.7109375" style="99" customWidth="1"/>
    <col min="5897" max="6144" width="11.42578125" style="99"/>
    <col min="6145" max="6145" width="18.28515625" style="99" customWidth="1"/>
    <col min="6146" max="6151" width="11.42578125" style="99"/>
    <col min="6152" max="6152" width="16.7109375" style="99" customWidth="1"/>
    <col min="6153" max="6400" width="11.42578125" style="99"/>
    <col min="6401" max="6401" width="18.28515625" style="99" customWidth="1"/>
    <col min="6402" max="6407" width="11.42578125" style="99"/>
    <col min="6408" max="6408" width="16.7109375" style="99" customWidth="1"/>
    <col min="6409" max="6656" width="11.42578125" style="99"/>
    <col min="6657" max="6657" width="18.28515625" style="99" customWidth="1"/>
    <col min="6658" max="6663" width="11.42578125" style="99"/>
    <col min="6664" max="6664" width="16.7109375" style="99" customWidth="1"/>
    <col min="6665" max="6912" width="11.42578125" style="99"/>
    <col min="6913" max="6913" width="18.28515625" style="99" customWidth="1"/>
    <col min="6914" max="6919" width="11.42578125" style="99"/>
    <col min="6920" max="6920" width="16.7109375" style="99" customWidth="1"/>
    <col min="6921" max="7168" width="11.42578125" style="99"/>
    <col min="7169" max="7169" width="18.28515625" style="99" customWidth="1"/>
    <col min="7170" max="7175" width="11.42578125" style="99"/>
    <col min="7176" max="7176" width="16.7109375" style="99" customWidth="1"/>
    <col min="7177" max="7424" width="11.42578125" style="99"/>
    <col min="7425" max="7425" width="18.28515625" style="99" customWidth="1"/>
    <col min="7426" max="7431" width="11.42578125" style="99"/>
    <col min="7432" max="7432" width="16.7109375" style="99" customWidth="1"/>
    <col min="7433" max="7680" width="11.42578125" style="99"/>
    <col min="7681" max="7681" width="18.28515625" style="99" customWidth="1"/>
    <col min="7682" max="7687" width="11.42578125" style="99"/>
    <col min="7688" max="7688" width="16.7109375" style="99" customWidth="1"/>
    <col min="7689" max="7936" width="11.42578125" style="99"/>
    <col min="7937" max="7937" width="18.28515625" style="99" customWidth="1"/>
    <col min="7938" max="7943" width="11.42578125" style="99"/>
    <col min="7944" max="7944" width="16.7109375" style="99" customWidth="1"/>
    <col min="7945" max="8192" width="11.42578125" style="99"/>
    <col min="8193" max="8193" width="18.28515625" style="99" customWidth="1"/>
    <col min="8194" max="8199" width="11.42578125" style="99"/>
    <col min="8200" max="8200" width="16.7109375" style="99" customWidth="1"/>
    <col min="8201" max="8448" width="11.42578125" style="99"/>
    <col min="8449" max="8449" width="18.28515625" style="99" customWidth="1"/>
    <col min="8450" max="8455" width="11.42578125" style="99"/>
    <col min="8456" max="8456" width="16.7109375" style="99" customWidth="1"/>
    <col min="8457" max="8704" width="11.42578125" style="99"/>
    <col min="8705" max="8705" width="18.28515625" style="99" customWidth="1"/>
    <col min="8706" max="8711" width="11.42578125" style="99"/>
    <col min="8712" max="8712" width="16.7109375" style="99" customWidth="1"/>
    <col min="8713" max="8960" width="11.42578125" style="99"/>
    <col min="8961" max="8961" width="18.28515625" style="99" customWidth="1"/>
    <col min="8962" max="8967" width="11.42578125" style="99"/>
    <col min="8968" max="8968" width="16.7109375" style="99" customWidth="1"/>
    <col min="8969" max="9216" width="11.42578125" style="99"/>
    <col min="9217" max="9217" width="18.28515625" style="99" customWidth="1"/>
    <col min="9218" max="9223" width="11.42578125" style="99"/>
    <col min="9224" max="9224" width="16.7109375" style="99" customWidth="1"/>
    <col min="9225" max="9472" width="11.42578125" style="99"/>
    <col min="9473" max="9473" width="18.28515625" style="99" customWidth="1"/>
    <col min="9474" max="9479" width="11.42578125" style="99"/>
    <col min="9480" max="9480" width="16.7109375" style="99" customWidth="1"/>
    <col min="9481" max="9728" width="11.42578125" style="99"/>
    <col min="9729" max="9729" width="18.28515625" style="99" customWidth="1"/>
    <col min="9730" max="9735" width="11.42578125" style="99"/>
    <col min="9736" max="9736" width="16.7109375" style="99" customWidth="1"/>
    <col min="9737" max="9984" width="11.42578125" style="99"/>
    <col min="9985" max="9985" width="18.28515625" style="99" customWidth="1"/>
    <col min="9986" max="9991" width="11.42578125" style="99"/>
    <col min="9992" max="9992" width="16.7109375" style="99" customWidth="1"/>
    <col min="9993" max="10240" width="11.42578125" style="99"/>
    <col min="10241" max="10241" width="18.28515625" style="99" customWidth="1"/>
    <col min="10242" max="10247" width="11.42578125" style="99"/>
    <col min="10248" max="10248" width="16.7109375" style="99" customWidth="1"/>
    <col min="10249" max="10496" width="11.42578125" style="99"/>
    <col min="10497" max="10497" width="18.28515625" style="99" customWidth="1"/>
    <col min="10498" max="10503" width="11.42578125" style="99"/>
    <col min="10504" max="10504" width="16.7109375" style="99" customWidth="1"/>
    <col min="10505" max="10752" width="11.42578125" style="99"/>
    <col min="10753" max="10753" width="18.28515625" style="99" customWidth="1"/>
    <col min="10754" max="10759" width="11.42578125" style="99"/>
    <col min="10760" max="10760" width="16.7109375" style="99" customWidth="1"/>
    <col min="10761" max="11008" width="11.42578125" style="99"/>
    <col min="11009" max="11009" width="18.28515625" style="99" customWidth="1"/>
    <col min="11010" max="11015" width="11.42578125" style="99"/>
    <col min="11016" max="11016" width="16.7109375" style="99" customWidth="1"/>
    <col min="11017" max="11264" width="11.42578125" style="99"/>
    <col min="11265" max="11265" width="18.28515625" style="99" customWidth="1"/>
    <col min="11266" max="11271" width="11.42578125" style="99"/>
    <col min="11272" max="11272" width="16.7109375" style="99" customWidth="1"/>
    <col min="11273" max="11520" width="11.42578125" style="99"/>
    <col min="11521" max="11521" width="18.28515625" style="99" customWidth="1"/>
    <col min="11522" max="11527" width="11.42578125" style="99"/>
    <col min="11528" max="11528" width="16.7109375" style="99" customWidth="1"/>
    <col min="11529" max="11776" width="11.42578125" style="99"/>
    <col min="11777" max="11777" width="18.28515625" style="99" customWidth="1"/>
    <col min="11778" max="11783" width="11.42578125" style="99"/>
    <col min="11784" max="11784" width="16.7109375" style="99" customWidth="1"/>
    <col min="11785" max="12032" width="11.42578125" style="99"/>
    <col min="12033" max="12033" width="18.28515625" style="99" customWidth="1"/>
    <col min="12034" max="12039" width="11.42578125" style="99"/>
    <col min="12040" max="12040" width="16.7109375" style="99" customWidth="1"/>
    <col min="12041" max="12288" width="11.42578125" style="99"/>
    <col min="12289" max="12289" width="18.28515625" style="99" customWidth="1"/>
    <col min="12290" max="12295" width="11.42578125" style="99"/>
    <col min="12296" max="12296" width="16.7109375" style="99" customWidth="1"/>
    <col min="12297" max="12544" width="11.42578125" style="99"/>
    <col min="12545" max="12545" width="18.28515625" style="99" customWidth="1"/>
    <col min="12546" max="12551" width="11.42578125" style="99"/>
    <col min="12552" max="12552" width="16.7109375" style="99" customWidth="1"/>
    <col min="12553" max="12800" width="11.42578125" style="99"/>
    <col min="12801" max="12801" width="18.28515625" style="99" customWidth="1"/>
    <col min="12802" max="12807" width="11.42578125" style="99"/>
    <col min="12808" max="12808" width="16.7109375" style="99" customWidth="1"/>
    <col min="12809" max="13056" width="11.42578125" style="99"/>
    <col min="13057" max="13057" width="18.28515625" style="99" customWidth="1"/>
    <col min="13058" max="13063" width="11.42578125" style="99"/>
    <col min="13064" max="13064" width="16.7109375" style="99" customWidth="1"/>
    <col min="13065" max="13312" width="11.42578125" style="99"/>
    <col min="13313" max="13313" width="18.28515625" style="99" customWidth="1"/>
    <col min="13314" max="13319" width="11.42578125" style="99"/>
    <col min="13320" max="13320" width="16.7109375" style="99" customWidth="1"/>
    <col min="13321" max="13568" width="11.42578125" style="99"/>
    <col min="13569" max="13569" width="18.28515625" style="99" customWidth="1"/>
    <col min="13570" max="13575" width="11.42578125" style="99"/>
    <col min="13576" max="13576" width="16.7109375" style="99" customWidth="1"/>
    <col min="13577" max="13824" width="11.42578125" style="99"/>
    <col min="13825" max="13825" width="18.28515625" style="99" customWidth="1"/>
    <col min="13826" max="13831" width="11.42578125" style="99"/>
    <col min="13832" max="13832" width="16.7109375" style="99" customWidth="1"/>
    <col min="13833" max="14080" width="11.42578125" style="99"/>
    <col min="14081" max="14081" width="18.28515625" style="99" customWidth="1"/>
    <col min="14082" max="14087" width="11.42578125" style="99"/>
    <col min="14088" max="14088" width="16.7109375" style="99" customWidth="1"/>
    <col min="14089" max="14336" width="11.42578125" style="99"/>
    <col min="14337" max="14337" width="18.28515625" style="99" customWidth="1"/>
    <col min="14338" max="14343" width="11.42578125" style="99"/>
    <col min="14344" max="14344" width="16.7109375" style="99" customWidth="1"/>
    <col min="14345" max="14592" width="11.42578125" style="99"/>
    <col min="14593" max="14593" width="18.28515625" style="99" customWidth="1"/>
    <col min="14594" max="14599" width="11.42578125" style="99"/>
    <col min="14600" max="14600" width="16.7109375" style="99" customWidth="1"/>
    <col min="14601" max="14848" width="11.42578125" style="99"/>
    <col min="14849" max="14849" width="18.28515625" style="99" customWidth="1"/>
    <col min="14850" max="14855" width="11.42578125" style="99"/>
    <col min="14856" max="14856" width="16.7109375" style="99" customWidth="1"/>
    <col min="14857" max="15104" width="11.42578125" style="99"/>
    <col min="15105" max="15105" width="18.28515625" style="99" customWidth="1"/>
    <col min="15106" max="15111" width="11.42578125" style="99"/>
    <col min="15112" max="15112" width="16.7109375" style="99" customWidth="1"/>
    <col min="15113" max="15360" width="11.42578125" style="99"/>
    <col min="15361" max="15361" width="18.28515625" style="99" customWidth="1"/>
    <col min="15362" max="15367" width="11.42578125" style="99"/>
    <col min="15368" max="15368" width="16.7109375" style="99" customWidth="1"/>
    <col min="15369" max="15616" width="11.42578125" style="99"/>
    <col min="15617" max="15617" width="18.28515625" style="99" customWidth="1"/>
    <col min="15618" max="15623" width="11.42578125" style="99"/>
    <col min="15624" max="15624" width="16.7109375" style="99" customWidth="1"/>
    <col min="15625" max="15872" width="11.42578125" style="99"/>
    <col min="15873" max="15873" width="18.28515625" style="99" customWidth="1"/>
    <col min="15874" max="15879" width="11.42578125" style="99"/>
    <col min="15880" max="15880" width="16.7109375" style="99" customWidth="1"/>
    <col min="15881" max="16128" width="11.42578125" style="99"/>
    <col min="16129" max="16129" width="18.28515625" style="99" customWidth="1"/>
    <col min="16130" max="16135" width="11.42578125" style="99"/>
    <col min="16136" max="16136" width="16.7109375" style="99" customWidth="1"/>
    <col min="16137" max="16384" width="11.42578125" style="99"/>
  </cols>
  <sheetData>
    <row r="1" spans="1:11" ht="15" x14ac:dyDescent="0.25">
      <c r="A1" s="205" t="s">
        <v>219</v>
      </c>
      <c r="B1" s="205"/>
      <c r="C1" s="205"/>
      <c r="D1" s="205"/>
      <c r="E1" s="205"/>
      <c r="F1" s="205"/>
    </row>
    <row r="2" spans="1:11" ht="15" x14ac:dyDescent="0.25">
      <c r="A2" s="109"/>
      <c r="B2" s="106">
        <f>+B10</f>
        <v>50000</v>
      </c>
      <c r="C2" s="106">
        <f t="shared" ref="C2:F2" si="0">+C10</f>
        <v>55000</v>
      </c>
      <c r="D2" s="106">
        <f t="shared" si="0"/>
        <v>60000</v>
      </c>
      <c r="E2" s="106">
        <f t="shared" si="0"/>
        <v>65000</v>
      </c>
      <c r="F2" s="106">
        <f t="shared" si="0"/>
        <v>70000</v>
      </c>
    </row>
    <row r="3" spans="1:11" x14ac:dyDescent="0.2">
      <c r="A3" s="107" t="s">
        <v>171</v>
      </c>
      <c r="B3" s="163">
        <f>'Annexe 2'!$G$3*B10/'Annexe 2'!$G$4</f>
        <v>15000</v>
      </c>
      <c r="C3" s="170">
        <f>'Annexe 2'!$G$3*C10/'Annexe 2'!$G$4</f>
        <v>16500</v>
      </c>
      <c r="D3" s="170">
        <f>'Annexe 2'!$G$3*D10/'Annexe 2'!$G$4</f>
        <v>18000</v>
      </c>
      <c r="E3" s="170">
        <f>'Annexe 2'!$G$3*E10/'Annexe 2'!$G$4</f>
        <v>19500</v>
      </c>
      <c r="F3" s="170">
        <f>'Annexe 2'!$G$3*F10/'Annexe 2'!$G$4</f>
        <v>21000</v>
      </c>
    </row>
    <row r="4" spans="1:11" x14ac:dyDescent="0.2">
      <c r="A4" s="108" t="s">
        <v>187</v>
      </c>
      <c r="B4" s="164">
        <f>'Annexe 2'!$G$5*B10/'Annexe 2'!$I$5</f>
        <v>7000</v>
      </c>
      <c r="C4" s="171">
        <f>'Annexe 2'!$G$5*C10/'Annexe 2'!$I$5</f>
        <v>7700</v>
      </c>
      <c r="D4" s="171">
        <f>'Annexe 2'!$G$5*D10/'Annexe 2'!$I$5</f>
        <v>8400</v>
      </c>
      <c r="E4" s="171">
        <f>'Annexe 2'!$G$5*E10/'Annexe 2'!$I$5</f>
        <v>9100</v>
      </c>
      <c r="F4" s="171">
        <f>'Annexe 2'!$G$5*F10/'Annexe 2'!$I$5</f>
        <v>9800</v>
      </c>
    </row>
    <row r="5" spans="1:11" x14ac:dyDescent="0.2">
      <c r="A5" s="102" t="s">
        <v>172</v>
      </c>
      <c r="B5" s="164">
        <f>'Annexe 2'!$G$6/5</f>
        <v>3516</v>
      </c>
      <c r="C5" s="171">
        <f>'Annexe 2'!$G$6/5</f>
        <v>3516</v>
      </c>
      <c r="D5" s="171">
        <f>'Annexe 2'!$G$6/5</f>
        <v>3516</v>
      </c>
      <c r="E5" s="171">
        <f>'Annexe 2'!$G$6/5</f>
        <v>3516</v>
      </c>
      <c r="F5" s="171">
        <f>'Annexe 2'!$G$6/5</f>
        <v>3516</v>
      </c>
    </row>
    <row r="6" spans="1:11" x14ac:dyDescent="0.2">
      <c r="A6" s="102" t="s">
        <v>173</v>
      </c>
      <c r="B6" s="162">
        <f>'Annexe 2'!$G$6*'Annexe 2'!$G$9</f>
        <v>879</v>
      </c>
      <c r="C6" s="168">
        <f>'Annexe 2'!$G$6*'Annexe 2'!$G$9</f>
        <v>879</v>
      </c>
      <c r="D6" s="168">
        <f>'Annexe 2'!$G$6*'Annexe 2'!$G$9</f>
        <v>879</v>
      </c>
      <c r="E6" s="168">
        <f>'Annexe 2'!$G$6*'Annexe 2'!$G$9</f>
        <v>879</v>
      </c>
      <c r="F6" s="168">
        <f>'Annexe 2'!$G$6*'Annexe 2'!$G$9</f>
        <v>879</v>
      </c>
    </row>
    <row r="7" spans="1:11" x14ac:dyDescent="0.2">
      <c r="A7" s="101" t="s">
        <v>174</v>
      </c>
      <c r="B7" s="165">
        <f>SUM(B3:B6)</f>
        <v>26395</v>
      </c>
      <c r="C7" s="172">
        <f t="shared" ref="C7:F7" si="1">SUM(C3:C6)</f>
        <v>28595</v>
      </c>
      <c r="D7" s="172">
        <f t="shared" si="1"/>
        <v>30795</v>
      </c>
      <c r="E7" s="172">
        <f t="shared" si="1"/>
        <v>32995</v>
      </c>
      <c r="F7" s="172">
        <f t="shared" si="1"/>
        <v>35195</v>
      </c>
    </row>
    <row r="9" spans="1:11" ht="15" x14ac:dyDescent="0.25">
      <c r="A9" s="205" t="s">
        <v>189</v>
      </c>
      <c r="B9" s="205"/>
      <c r="C9" s="205"/>
      <c r="D9" s="205"/>
      <c r="E9" s="205"/>
      <c r="F9" s="205"/>
      <c r="H9" s="206" t="s">
        <v>188</v>
      </c>
      <c r="I9" s="207"/>
    </row>
    <row r="10" spans="1:11" ht="15" customHeight="1" x14ac:dyDescent="0.2">
      <c r="A10" s="100"/>
      <c r="B10" s="106">
        <v>50000</v>
      </c>
      <c r="C10" s="106">
        <v>55000</v>
      </c>
      <c r="D10" s="106">
        <v>60000</v>
      </c>
      <c r="E10" s="106">
        <v>65000</v>
      </c>
      <c r="F10" s="106">
        <v>70000</v>
      </c>
      <c r="H10" s="100" t="s">
        <v>168</v>
      </c>
      <c r="I10" s="110">
        <v>51</v>
      </c>
    </row>
    <row r="11" spans="1:11" x14ac:dyDescent="0.2">
      <c r="A11" s="100" t="s">
        <v>167</v>
      </c>
      <c r="B11" s="166">
        <f>B7</f>
        <v>26395</v>
      </c>
      <c r="C11" s="166">
        <f>C7</f>
        <v>28595</v>
      </c>
      <c r="D11" s="166">
        <f>D7</f>
        <v>30795</v>
      </c>
      <c r="E11" s="166">
        <f>E7</f>
        <v>32995</v>
      </c>
      <c r="F11" s="166">
        <f>F7</f>
        <v>35195</v>
      </c>
      <c r="H11" s="100" t="s">
        <v>170</v>
      </c>
      <c r="I11" s="110">
        <f>+I10/100</f>
        <v>0.51</v>
      </c>
    </row>
    <row r="12" spans="1:11" x14ac:dyDescent="0.2">
      <c r="A12" s="112" t="s">
        <v>190</v>
      </c>
      <c r="B12" s="167">
        <f>B11/B10</f>
        <v>0.52790000000000004</v>
      </c>
      <c r="C12" s="167">
        <f t="shared" ref="C12:F12" si="2">C11/C10</f>
        <v>0.51990909090909088</v>
      </c>
      <c r="D12" s="167">
        <f t="shared" si="2"/>
        <v>0.51324999999999998</v>
      </c>
      <c r="E12" s="167">
        <f t="shared" si="2"/>
        <v>0.50761538461538458</v>
      </c>
      <c r="F12" s="167">
        <f t="shared" si="2"/>
        <v>0.50278571428571428</v>
      </c>
      <c r="I12" s="111"/>
    </row>
    <row r="13" spans="1:11" x14ac:dyDescent="0.2">
      <c r="A13" s="103" t="s">
        <v>169</v>
      </c>
      <c r="B13" s="168">
        <f>B10*$I$11</f>
        <v>25500</v>
      </c>
      <c r="C13" s="168">
        <f>C10*$I$11</f>
        <v>28050</v>
      </c>
      <c r="D13" s="168">
        <f>D10*$I$11</f>
        <v>30600</v>
      </c>
      <c r="E13" s="168">
        <f>E10*$I$11</f>
        <v>33150</v>
      </c>
      <c r="F13" s="168">
        <f>F10*$I$11</f>
        <v>35700</v>
      </c>
    </row>
    <row r="14" spans="1:11" x14ac:dyDescent="0.2">
      <c r="A14" s="100" t="s">
        <v>202</v>
      </c>
      <c r="B14" s="169">
        <f>B11-B13</f>
        <v>895</v>
      </c>
      <c r="C14" s="169">
        <f t="shared" ref="C14:F14" si="3">C11-C13</f>
        <v>545</v>
      </c>
      <c r="D14" s="169">
        <f t="shared" si="3"/>
        <v>195</v>
      </c>
      <c r="E14" s="169">
        <f>E11-E13</f>
        <v>-155</v>
      </c>
      <c r="F14" s="169">
        <f t="shared" si="3"/>
        <v>-505</v>
      </c>
      <c r="H14" s="99" t="s">
        <v>217</v>
      </c>
      <c r="K14" s="99" t="s">
        <v>218</v>
      </c>
    </row>
    <row r="15" spans="1:11" x14ac:dyDescent="0.2">
      <c r="H15" s="99" t="s">
        <v>220</v>
      </c>
    </row>
    <row r="19" spans="10:17" x14ac:dyDescent="0.2">
      <c r="J19" s="208" t="s">
        <v>222</v>
      </c>
      <c r="K19" s="209"/>
      <c r="L19" s="209"/>
      <c r="M19" s="209"/>
      <c r="N19" s="209"/>
      <c r="O19" s="209"/>
      <c r="P19" s="209"/>
      <c r="Q19" s="210"/>
    </row>
    <row r="20" spans="10:17" ht="46.9" customHeight="1" x14ac:dyDescent="0.2">
      <c r="J20" s="204" t="s">
        <v>224</v>
      </c>
      <c r="K20" s="204"/>
      <c r="L20" s="204"/>
      <c r="M20" s="204"/>
      <c r="N20" s="204"/>
      <c r="O20" s="204"/>
      <c r="P20" s="204"/>
      <c r="Q20" s="204"/>
    </row>
    <row r="21" spans="10:17" ht="53.45" customHeight="1" x14ac:dyDescent="0.2">
      <c r="J21" s="204" t="s">
        <v>221</v>
      </c>
      <c r="K21" s="204"/>
      <c r="L21" s="204"/>
      <c r="M21" s="204"/>
      <c r="N21" s="204"/>
      <c r="O21" s="204"/>
      <c r="P21" s="204"/>
      <c r="Q21" s="204"/>
    </row>
    <row r="22" spans="10:17" ht="35.450000000000003" customHeight="1" x14ac:dyDescent="0.2">
      <c r="J22" s="204" t="s">
        <v>223</v>
      </c>
      <c r="K22" s="204"/>
      <c r="L22" s="204"/>
      <c r="M22" s="204"/>
      <c r="N22" s="204"/>
      <c r="O22" s="204"/>
      <c r="P22" s="204"/>
      <c r="Q22" s="204"/>
    </row>
  </sheetData>
  <mergeCells count="7">
    <mergeCell ref="J22:Q22"/>
    <mergeCell ref="J20:Q20"/>
    <mergeCell ref="A9:F9"/>
    <mergeCell ref="A1:F1"/>
    <mergeCell ref="H9:I9"/>
    <mergeCell ref="J21:Q21"/>
    <mergeCell ref="J19:Q19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&amp;C&amp;F&amp;A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4"/>
  <sheetViews>
    <sheetView zoomScale="190" zoomScaleNormal="190" workbookViewId="0">
      <selection activeCell="A14" sqref="A14"/>
    </sheetView>
  </sheetViews>
  <sheetFormatPr baseColWidth="10" defaultRowHeight="15" x14ac:dyDescent="0.25"/>
  <cols>
    <col min="1" max="1" width="20.42578125" customWidth="1"/>
    <col min="2" max="3" width="8.85546875" customWidth="1"/>
    <col min="5" max="6" width="8.85546875" customWidth="1"/>
  </cols>
  <sheetData>
    <row r="1" spans="1:8" x14ac:dyDescent="0.25">
      <c r="A1" s="92" t="s">
        <v>139</v>
      </c>
      <c r="B1" s="93"/>
      <c r="C1" s="93"/>
    </row>
    <row r="2" spans="1:8" x14ac:dyDescent="0.25">
      <c r="A2" s="7"/>
    </row>
    <row r="3" spans="1:8" x14ac:dyDescent="0.25">
      <c r="A3" t="s">
        <v>140</v>
      </c>
    </row>
    <row r="4" spans="1:8" x14ac:dyDescent="0.25">
      <c r="A4" t="s">
        <v>141</v>
      </c>
    </row>
    <row r="5" spans="1:8" x14ac:dyDescent="0.25">
      <c r="A5" t="s">
        <v>142</v>
      </c>
      <c r="F5">
        <f>32/2</f>
        <v>16</v>
      </c>
      <c r="H5" s="180"/>
    </row>
    <row r="6" spans="1:8" x14ac:dyDescent="0.25">
      <c r="A6" t="s">
        <v>143</v>
      </c>
      <c r="D6">
        <f>32</f>
        <v>32</v>
      </c>
    </row>
    <row r="8" spans="1:8" x14ac:dyDescent="0.25">
      <c r="A8" s="3"/>
      <c r="B8" s="211" t="s">
        <v>70</v>
      </c>
      <c r="C8" s="212"/>
      <c r="D8" s="213"/>
      <c r="E8" s="214" t="s">
        <v>71</v>
      </c>
      <c r="F8" s="215"/>
      <c r="G8" s="216"/>
      <c r="H8" s="130" t="s">
        <v>72</v>
      </c>
    </row>
    <row r="9" spans="1:8" x14ac:dyDescent="0.25">
      <c r="A9" s="3"/>
      <c r="B9" s="177" t="s">
        <v>258</v>
      </c>
      <c r="C9" s="178" t="s">
        <v>259</v>
      </c>
      <c r="D9" s="178" t="s">
        <v>260</v>
      </c>
      <c r="E9" s="174" t="s">
        <v>258</v>
      </c>
      <c r="F9" s="175" t="s">
        <v>259</v>
      </c>
      <c r="G9" s="175" t="s">
        <v>260</v>
      </c>
      <c r="H9" s="130"/>
    </row>
    <row r="10" spans="1:8" x14ac:dyDescent="0.25">
      <c r="A10" s="3" t="s">
        <v>261</v>
      </c>
      <c r="B10" s="178">
        <f>+B11</f>
        <v>64</v>
      </c>
      <c r="C10" s="178">
        <v>45</v>
      </c>
      <c r="D10" s="179">
        <f>+B10*C10</f>
        <v>2880</v>
      </c>
      <c r="E10" s="175">
        <f>+D6*4</f>
        <v>128</v>
      </c>
      <c r="F10" s="175">
        <v>20</v>
      </c>
      <c r="G10" s="176">
        <f>+E10*F10</f>
        <v>2560</v>
      </c>
      <c r="H10" s="173">
        <f>+G10+D10</f>
        <v>5440</v>
      </c>
    </row>
    <row r="11" spans="1:8" x14ac:dyDescent="0.25">
      <c r="A11" s="3" t="s">
        <v>83</v>
      </c>
      <c r="B11" s="178">
        <f>+F5*4</f>
        <v>64</v>
      </c>
      <c r="C11" s="179">
        <f>'Mission 1'!B21</f>
        <v>33.511538461538464</v>
      </c>
      <c r="D11" s="179">
        <f>+B11*C11</f>
        <v>2144.7384615384617</v>
      </c>
      <c r="E11" s="175">
        <f>+D6*4</f>
        <v>128</v>
      </c>
      <c r="F11" s="176">
        <f>'Mission 1'!C21</f>
        <v>17.673253968253967</v>
      </c>
      <c r="G11" s="176">
        <f>+E11*F11</f>
        <v>2262.1765079365077</v>
      </c>
      <c r="H11" s="173">
        <f>+G11+D11</f>
        <v>4406.9149694749694</v>
      </c>
    </row>
    <row r="12" spans="1:8" x14ac:dyDescent="0.25">
      <c r="A12" s="3" t="s">
        <v>262</v>
      </c>
      <c r="B12" s="178"/>
      <c r="C12" s="178"/>
      <c r="D12" s="179">
        <f>+D10-D11</f>
        <v>735.26153846153829</v>
      </c>
      <c r="E12" s="175"/>
      <c r="F12" s="175"/>
      <c r="G12" s="176">
        <f>+G10-G11</f>
        <v>297.82349206349227</v>
      </c>
      <c r="H12" s="173">
        <f>+G12+D12</f>
        <v>1033.0850305250306</v>
      </c>
    </row>
    <row r="14" spans="1:8" x14ac:dyDescent="0.25">
      <c r="A14" s="7" t="str">
        <f>IF(H12&gt;0,"La proposition doit être acceptée.","La proposition doit être refusée.")</f>
        <v>La proposition doit être acceptée.</v>
      </c>
    </row>
  </sheetData>
  <mergeCells count="2">
    <mergeCell ref="B8:D8"/>
    <mergeCell ref="E8:G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équilibre balance</vt:lpstr>
      <vt:lpstr>Modifications</vt:lpstr>
      <vt:lpstr>Balance</vt:lpstr>
      <vt:lpstr>Résultat</vt:lpstr>
      <vt:lpstr>Annexe 1</vt:lpstr>
      <vt:lpstr>Annexe 2</vt:lpstr>
      <vt:lpstr>Mission 1</vt:lpstr>
      <vt:lpstr>Mission 2</vt:lpstr>
      <vt:lpstr>Mission 3</vt:lpstr>
      <vt:lpstr>mission 4</vt:lpstr>
      <vt:lpstr>Mission 1 que restaurant</vt:lpstr>
      <vt:lpstr>'Annexe 1'!h.gjdgxs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Amelie Freour-Zorrilla</dc:creator>
  <cp:lastModifiedBy>j-philippe.minier</cp:lastModifiedBy>
  <cp:lastPrinted>2024-01-09T14:24:08Z</cp:lastPrinted>
  <dcterms:created xsi:type="dcterms:W3CDTF">2016-03-17T11:29:59Z</dcterms:created>
  <dcterms:modified xsi:type="dcterms:W3CDTF">2024-01-16T16:51:37Z</dcterms:modified>
</cp:coreProperties>
</file>