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D:\1. Professionnel\2. SP\E4 2-3 SP Cottage de Lyon\"/>
    </mc:Choice>
  </mc:AlternateContent>
  <xr:revisionPtr revIDLastSave="0" documentId="13_ncr:1_{BAFBCA13-432E-4BCA-85A5-0557722C9C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ance avant inventaire" sheetId="28" r:id="rId1"/>
    <sheet name="Corrigé ecritures inventaire" sheetId="25" r:id="rId2"/>
    <sheet name="Corrigé Immobilisations" sheetId="14" r:id="rId3"/>
    <sheet name="Créances douteuses (prof)" sheetId="22" r:id="rId4"/>
    <sheet name="IS" sheetId="23" r:id="rId5"/>
    <sheet name="Contrôle Bilan-cpte Rt-" sheetId="26" r:id="rId6"/>
    <sheet name="Affectation du résultat" sheetId="27" r:id="rId7"/>
  </sheets>
  <definedNames>
    <definedName name="_bff01">#REF!</definedName>
    <definedName name="_ter01">#REF!</definedName>
    <definedName name="BFF">#REF!</definedName>
    <definedName name="BilFF">#REF!</definedName>
    <definedName name="BilFFin">#REF!</definedName>
    <definedName name="tabER">#REF!</definedName>
    <definedName name="tabERes">#REF!</definedName>
    <definedName name="TabSIG">#REF!</definedName>
    <definedName name="tabSIGes">#REF!</definedName>
    <definedName name="TER">#REF!</definedName>
    <definedName name="TSIG">#REF!</definedName>
    <definedName name="wrn.CGM." hidden="1">{#N/A,#N/A,FALSE,"ACTIF_95";#N/A,#N/A,FALSE,"PASSIF_95";#N/A,#N/A,FALSE,"RESULTAT_95";#N/A,#N/A,FALSE,"RESULTAT1_95";#N/A,#N/A,FALSE,"RESULTAT_96";#N/A,#N/A,FALSE,"RESULTAT1_96";#N/A,#N/A,FALSE,"ACTIF_96";#N/A,#N/A,FALSE,"PASSIF_96";#N/A,#N/A,FALSE,"SIG_95_96";#N/A,#N/A,FALSE,"BILAN_FONCT 95_96";#N/A,#N/A,FALSE,"MODE_FIN"}</definedName>
    <definedName name="_xlnm.Print_Area" localSheetId="1">'Corrigé ecritures inventaire'!$A$1:$F$53</definedName>
    <definedName name="_xlnm.Print_Area" localSheetId="3">'Créances douteuses (prof)'!$A$1:$M$13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23" l="1"/>
  <c r="F19" i="23"/>
  <c r="H19" i="23" s="1"/>
  <c r="D20" i="23"/>
  <c r="F20" i="23" s="1"/>
  <c r="D21" i="23"/>
  <c r="F21" i="23"/>
  <c r="F18" i="23"/>
  <c r="D6" i="23"/>
  <c r="D5" i="23"/>
  <c r="H15" i="14"/>
  <c r="I15" i="14"/>
  <c r="J15" i="14"/>
  <c r="M15" i="14" l="1"/>
  <c r="N15" i="14" s="1"/>
  <c r="E13" i="25" l="1"/>
  <c r="E15" i="25" s="1"/>
  <c r="I5" i="27" l="1"/>
  <c r="C14" i="27"/>
  <c r="C15" i="27" s="1"/>
  <c r="B6" i="27"/>
  <c r="E13" i="27" s="1"/>
  <c r="D13" i="27" l="1"/>
  <c r="E50" i="25" l="1"/>
  <c r="F51" i="25" s="1"/>
  <c r="E19" i="25"/>
  <c r="F20" i="25" s="1"/>
  <c r="F16" i="25"/>
  <c r="F14" i="25"/>
  <c r="F6" i="25" s="1"/>
  <c r="F73" i="25" l="1"/>
  <c r="E5" i="25"/>
  <c r="E73" i="25" s="1"/>
  <c r="J10" i="14" l="1"/>
  <c r="J18" i="14"/>
  <c r="E32" i="23" l="1"/>
  <c r="E33" i="23" s="1"/>
  <c r="D4" i="23"/>
  <c r="C6" i="23"/>
  <c r="C5" i="23"/>
  <c r="P11" i="14"/>
  <c r="M10" i="14"/>
  <c r="L11" i="14"/>
  <c r="K11" i="14"/>
  <c r="G11" i="14"/>
  <c r="F11" i="14"/>
  <c r="E11" i="14"/>
  <c r="H10" i="14"/>
  <c r="O10" i="14" l="1"/>
  <c r="N10" i="14"/>
  <c r="D7" i="23"/>
  <c r="B3" i="27" s="1"/>
  <c r="H3" i="27" s="1"/>
  <c r="H10" i="27" s="1"/>
  <c r="G22" i="23"/>
  <c r="D30" i="23"/>
  <c r="C4" i="23"/>
  <c r="C7" i="23" s="1"/>
  <c r="E35" i="14"/>
  <c r="F16" i="14" s="1"/>
  <c r="O33" i="14"/>
  <c r="N33" i="14"/>
  <c r="M33" i="14"/>
  <c r="L33" i="14"/>
  <c r="K33" i="14"/>
  <c r="J33" i="14"/>
  <c r="I33" i="14"/>
  <c r="O25" i="14"/>
  <c r="L25" i="14"/>
  <c r="K25" i="14"/>
  <c r="G25" i="14"/>
  <c r="F25" i="14"/>
  <c r="E25" i="14"/>
  <c r="J24" i="14"/>
  <c r="I24" i="14"/>
  <c r="H24" i="14"/>
  <c r="J23" i="14"/>
  <c r="I23" i="14"/>
  <c r="H23" i="14"/>
  <c r="O22" i="14"/>
  <c r="L22" i="14"/>
  <c r="K22" i="14"/>
  <c r="G22" i="14"/>
  <c r="F22" i="14"/>
  <c r="E22" i="14"/>
  <c r="J21" i="14"/>
  <c r="I21" i="14"/>
  <c r="H21" i="14"/>
  <c r="J20" i="14"/>
  <c r="I20" i="14"/>
  <c r="H20" i="14"/>
  <c r="O19" i="14"/>
  <c r="K19" i="14"/>
  <c r="G19" i="14"/>
  <c r="F19" i="14"/>
  <c r="E19" i="14"/>
  <c r="I18" i="14"/>
  <c r="M18" i="14" s="1"/>
  <c r="H18" i="14"/>
  <c r="J17" i="14"/>
  <c r="I17" i="14"/>
  <c r="H17" i="14"/>
  <c r="O16" i="14"/>
  <c r="G16" i="14"/>
  <c r="E16" i="14"/>
  <c r="J14" i="14"/>
  <c r="I14" i="14"/>
  <c r="H14" i="14"/>
  <c r="J13" i="14"/>
  <c r="I13" i="14"/>
  <c r="H13" i="14"/>
  <c r="J12" i="14"/>
  <c r="I12" i="14"/>
  <c r="H12" i="14"/>
  <c r="O11" i="14"/>
  <c r="J9" i="14"/>
  <c r="I9" i="14"/>
  <c r="H9" i="14"/>
  <c r="J8" i="14"/>
  <c r="I8" i="14"/>
  <c r="H8" i="14"/>
  <c r="O7" i="14"/>
  <c r="L7" i="14"/>
  <c r="K7" i="14"/>
  <c r="J7" i="14"/>
  <c r="I7" i="14"/>
  <c r="G7" i="14"/>
  <c r="F7" i="14"/>
  <c r="E7" i="14"/>
  <c r="M6" i="14"/>
  <c r="M7" i="14" s="1"/>
  <c r="H6" i="14"/>
  <c r="H7" i="14" s="1"/>
  <c r="I11" i="14" l="1"/>
  <c r="N7" i="14"/>
  <c r="D32" i="23"/>
  <c r="F30" i="23"/>
  <c r="B4" i="27"/>
  <c r="J11" i="14"/>
  <c r="M14" i="14"/>
  <c r="M13" i="14"/>
  <c r="G26" i="14"/>
  <c r="H19" i="14"/>
  <c r="G16" i="23"/>
  <c r="E26" i="14"/>
  <c r="I19" i="14"/>
  <c r="J22" i="14"/>
  <c r="J25" i="14"/>
  <c r="D17" i="23"/>
  <c r="J16" i="14"/>
  <c r="H25" i="14"/>
  <c r="F26" i="14"/>
  <c r="H11" i="14"/>
  <c r="M9" i="14"/>
  <c r="N9" i="14" s="1"/>
  <c r="M12" i="14"/>
  <c r="N12" i="14" s="1"/>
  <c r="M21" i="14"/>
  <c r="N21" i="14" s="1"/>
  <c r="M24" i="14"/>
  <c r="N24" i="14" s="1"/>
  <c r="N14" i="14"/>
  <c r="M23" i="14"/>
  <c r="N23" i="14" s="1"/>
  <c r="K16" i="14"/>
  <c r="K26" i="14" s="1"/>
  <c r="O26" i="14"/>
  <c r="N18" i="14"/>
  <c r="L17" i="14"/>
  <c r="H22" i="14"/>
  <c r="N13" i="14"/>
  <c r="J19" i="14"/>
  <c r="I22" i="14"/>
  <c r="I16" i="14"/>
  <c r="M20" i="14"/>
  <c r="N20" i="14" s="1"/>
  <c r="I25" i="14"/>
  <c r="M8" i="14"/>
  <c r="N6" i="14"/>
  <c r="B5" i="27" l="1"/>
  <c r="B8" i="27" s="1"/>
  <c r="I4" i="27"/>
  <c r="C9" i="27"/>
  <c r="B9" i="27" s="1"/>
  <c r="E14" i="27" s="1"/>
  <c r="I16" i="23"/>
  <c r="D33" i="23"/>
  <c r="F33" i="23" s="1"/>
  <c r="F32" i="23"/>
  <c r="F17" i="23"/>
  <c r="I26" i="14"/>
  <c r="J26" i="14"/>
  <c r="M25" i="14"/>
  <c r="N25" i="14" s="1"/>
  <c r="M11" i="14"/>
  <c r="N11" i="14" s="1"/>
  <c r="M22" i="14"/>
  <c r="N22" i="14" s="1"/>
  <c r="N8" i="14"/>
  <c r="L19" i="14"/>
  <c r="M17" i="14"/>
  <c r="H16" i="14"/>
  <c r="D28" i="23" l="1"/>
  <c r="F28" i="23" s="1"/>
  <c r="H17" i="23"/>
  <c r="I17" i="23"/>
  <c r="B10" i="27"/>
  <c r="I9" i="27" s="1"/>
  <c r="D14" i="27"/>
  <c r="E15" i="27"/>
  <c r="D15" i="27" s="1"/>
  <c r="C20" i="27" s="1"/>
  <c r="L16" i="14"/>
  <c r="L26" i="14" s="1"/>
  <c r="M19" i="14"/>
  <c r="N19" i="14" s="1"/>
  <c r="N17" i="14"/>
  <c r="H26" i="14"/>
  <c r="C21" i="27" l="1"/>
  <c r="D20" i="27"/>
  <c r="H18" i="23"/>
  <c r="F31" i="23"/>
  <c r="F29" i="23" s="1"/>
  <c r="F34" i="23" s="1"/>
  <c r="I18" i="23"/>
  <c r="M16" i="14"/>
  <c r="I19" i="23" l="1"/>
  <c r="D21" i="27"/>
  <c r="I7" i="27" s="1"/>
  <c r="C22" i="27"/>
  <c r="D22" i="27" s="1"/>
  <c r="I8" i="27" s="1"/>
  <c r="I6" i="27"/>
  <c r="M26" i="14"/>
  <c r="N16" i="14"/>
  <c r="I20" i="23" l="1"/>
  <c r="I21" i="23" s="1"/>
  <c r="H20" i="23"/>
  <c r="I10" i="27"/>
  <c r="D23" i="27"/>
  <c r="N26" i="14"/>
  <c r="H21" i="23" l="1"/>
  <c r="H22" i="23" s="1"/>
  <c r="I13" i="22"/>
  <c r="G13" i="22"/>
  <c r="F13" i="22"/>
  <c r="E13" i="22"/>
  <c r="K8" i="22"/>
  <c r="L8" i="22" s="1"/>
  <c r="L7" i="22"/>
  <c r="H12" i="22"/>
  <c r="J12" i="22" s="1"/>
  <c r="L12" i="22" s="1"/>
  <c r="H11" i="22"/>
  <c r="J11" i="22" s="1"/>
  <c r="L11" i="22" s="1"/>
  <c r="H10" i="22"/>
  <c r="J10" i="22" s="1"/>
  <c r="L10" i="22" s="1"/>
  <c r="H9" i="22"/>
  <c r="J9" i="22" s="1"/>
  <c r="L9" i="22" s="1"/>
  <c r="H8" i="22"/>
  <c r="H7" i="22"/>
  <c r="I22" i="23" l="1"/>
  <c r="L13" i="22"/>
  <c r="K13" i="22"/>
  <c r="H13" i="22"/>
  <c r="J13" i="22"/>
</calcChain>
</file>

<file path=xl/sharedStrings.xml><?xml version="1.0" encoding="utf-8"?>
<sst xmlns="http://schemas.openxmlformats.org/spreadsheetml/2006/main" count="764" uniqueCount="453">
  <si>
    <t>PU</t>
  </si>
  <si>
    <t>durée amortissement</t>
  </si>
  <si>
    <t>Rubrique</t>
  </si>
  <si>
    <t>Descriptif</t>
  </si>
  <si>
    <t>Matériel de Transport</t>
  </si>
  <si>
    <t>VNC</t>
  </si>
  <si>
    <t>Installation générales</t>
  </si>
  <si>
    <t>Date acquisition</t>
  </si>
  <si>
    <t>Selon acte notarié</t>
  </si>
  <si>
    <t>Matériel de bureau</t>
  </si>
  <si>
    <t>Matériel informatique</t>
  </si>
  <si>
    <t>COTTAGE DE LYON</t>
  </si>
  <si>
    <t>Atelier production (facture DERIVOX)</t>
  </si>
  <si>
    <t>Matériel industriel</t>
  </si>
  <si>
    <t>Racks de rangement &amp; installations (Fact BUBOIS)</t>
  </si>
  <si>
    <t>Lot de machines à bois : toupie, tenonneuse, Mortaiseuse, scie, aspirateur d'atelier (fact Guichon)</t>
  </si>
  <si>
    <t>Ensemble bureau &amp; chaise (fact MA Forest)</t>
  </si>
  <si>
    <t>Ens. Comptoir et bureau d'accueil</t>
  </si>
  <si>
    <t>Citroën Jumper L2H2 HDI 100 CONFORT, Occasion 2 ans 34 500 Kms (fact Garage HUBERT)</t>
  </si>
  <si>
    <t>Total Installation générales</t>
  </si>
  <si>
    <t>Total Matériel industriel</t>
  </si>
  <si>
    <t>Total Matériel de bureau</t>
  </si>
  <si>
    <t>Total Matériel de Transport</t>
  </si>
  <si>
    <t>Total Matériel informatique</t>
  </si>
  <si>
    <t>Total général</t>
  </si>
  <si>
    <t>Droit au bail</t>
  </si>
  <si>
    <t>Total Droit au bail</t>
  </si>
  <si>
    <t xml:space="preserve">Ordinateur </t>
  </si>
  <si>
    <t>Salle d'expo : sol, cloison(fact Chichoux)</t>
  </si>
  <si>
    <t>Exposition (meubles peints)</t>
  </si>
  <si>
    <t>Jumper rallongé</t>
  </si>
  <si>
    <t>Diminution</t>
  </si>
  <si>
    <t>Commode Burlington 1930 acheté 810 €</t>
  </si>
  <si>
    <t>Bureau Burlington 1930, acheté 1032 €</t>
  </si>
  <si>
    <t>Armoire  Burlington 1930, acheté 707 €</t>
  </si>
  <si>
    <t>C0095</t>
  </si>
  <si>
    <t>C0126</t>
  </si>
  <si>
    <t>C0189</t>
  </si>
  <si>
    <t>C0157</t>
  </si>
  <si>
    <t>C0167</t>
  </si>
  <si>
    <t>Bailly</t>
  </si>
  <si>
    <t>Mathieu</t>
  </si>
  <si>
    <t>SA NRC</t>
  </si>
  <si>
    <t>Kaabech</t>
  </si>
  <si>
    <t>C0017</t>
  </si>
  <si>
    <t>Caillet</t>
  </si>
  <si>
    <t>Jeandel</t>
  </si>
  <si>
    <t>date facture</t>
  </si>
  <si>
    <t>Augm.</t>
  </si>
  <si>
    <t>diminution</t>
  </si>
  <si>
    <t>416000 Clients douteux</t>
  </si>
  <si>
    <t>491000 Dépréciation créances douteuses</t>
  </si>
  <si>
    <t>Taux dépréciation</t>
  </si>
  <si>
    <t>montant facture</t>
  </si>
  <si>
    <t>Code Client</t>
  </si>
  <si>
    <t>Nom Client</t>
  </si>
  <si>
    <t/>
  </si>
  <si>
    <t>281500</t>
  </si>
  <si>
    <t>281810</t>
  </si>
  <si>
    <t>281820</t>
  </si>
  <si>
    <t>281830</t>
  </si>
  <si>
    <t>471000</t>
  </si>
  <si>
    <t>681110</t>
  </si>
  <si>
    <t>IMMOB BRUTES</t>
  </si>
  <si>
    <t>AMORTISSEMENTS au 31/08/N</t>
  </si>
  <si>
    <t>Détail de réalisation de meubles peints</t>
  </si>
  <si>
    <t xml:space="preserve">Chariot élévateur TEU neuf </t>
  </si>
  <si>
    <t>Les fournitures utilisées (peinture, pinceaux…) sont évaluées à 509,01€.</t>
  </si>
  <si>
    <t>sous-traitance</t>
  </si>
  <si>
    <t>6037</t>
  </si>
  <si>
    <t>6817</t>
  </si>
  <si>
    <t>Solde</t>
  </si>
  <si>
    <t>Réserve légale</t>
  </si>
  <si>
    <t>2182</t>
  </si>
  <si>
    <t>2815</t>
  </si>
  <si>
    <t>28182</t>
  </si>
  <si>
    <t>371</t>
  </si>
  <si>
    <t>3971</t>
  </si>
  <si>
    <t>416</t>
  </si>
  <si>
    <t>445711</t>
  </si>
  <si>
    <t>471</t>
  </si>
  <si>
    <t>491</t>
  </si>
  <si>
    <t>Machine défonceuse</t>
  </si>
  <si>
    <t>IS</t>
  </si>
  <si>
    <t>Bénéfice avant IS</t>
  </si>
  <si>
    <t>Bénéfice après IS</t>
  </si>
  <si>
    <t>à 15%</t>
  </si>
  <si>
    <t>Calcul de l'IS</t>
  </si>
  <si>
    <t>1er acompte IS</t>
  </si>
  <si>
    <t>2e acompte IS</t>
  </si>
  <si>
    <t>3e acompte IS</t>
  </si>
  <si>
    <t>4e acompte IS</t>
  </si>
  <si>
    <t>Base</t>
  </si>
  <si>
    <t>taux</t>
  </si>
  <si>
    <t>Montant</t>
  </si>
  <si>
    <t>base normale</t>
  </si>
  <si>
    <t>Régularisation 1er acompte</t>
  </si>
  <si>
    <t>145</t>
  </si>
  <si>
    <t>1515</t>
  </si>
  <si>
    <t>4098</t>
  </si>
  <si>
    <t>444</t>
  </si>
  <si>
    <t>5908</t>
  </si>
  <si>
    <t>609</t>
  </si>
  <si>
    <t>6413</t>
  </si>
  <si>
    <t>654</t>
  </si>
  <si>
    <t>675</t>
  </si>
  <si>
    <t>6865</t>
  </si>
  <si>
    <t>6951</t>
  </si>
  <si>
    <t>775</t>
  </si>
  <si>
    <t>7817</t>
  </si>
  <si>
    <t>Affectation du résultat</t>
  </si>
  <si>
    <t>Bénéfice</t>
  </si>
  <si>
    <t>Bénéfice disponible</t>
  </si>
  <si>
    <t>Réserve facultative</t>
  </si>
  <si>
    <t>Intérêt statutaire</t>
  </si>
  <si>
    <t>= 6% 50€ x 800 actions</t>
  </si>
  <si>
    <t>Total distribuable</t>
  </si>
  <si>
    <t>Superdividende</t>
  </si>
  <si>
    <t>Montant Débit</t>
  </si>
  <si>
    <t>Montant Crédit</t>
  </si>
  <si>
    <t>Solde Débit</t>
  </si>
  <si>
    <t>Solde crédit</t>
  </si>
  <si>
    <t>Immobilisations au 31/08/20N(avant régularisations ou acquisitions)</t>
  </si>
  <si>
    <t>Amortis Dérogatoire</t>
  </si>
  <si>
    <t>Proposition de corrigé Mission 1 Ecritures d'inventaire</t>
  </si>
  <si>
    <t>Jour</t>
  </si>
  <si>
    <t>N° compte</t>
  </si>
  <si>
    <t>N°pièce</t>
  </si>
  <si>
    <t>Libellé écriture</t>
  </si>
  <si>
    <t>Mvts débit</t>
  </si>
  <si>
    <t>Mvts crédit</t>
  </si>
  <si>
    <t>6611</t>
  </si>
  <si>
    <t>2</t>
  </si>
  <si>
    <t>1668</t>
  </si>
  <si>
    <t>Int courus 15-12 au 31/12 (120,75/2)</t>
  </si>
  <si>
    <t>68112</t>
  </si>
  <si>
    <t>3</t>
  </si>
  <si>
    <t>Dot aux amortis Selon tableau amort</t>
  </si>
  <si>
    <t>4</t>
  </si>
  <si>
    <t>215</t>
  </si>
  <si>
    <t>Défonceuse</t>
  </si>
  <si>
    <t>Défonceuse régularisation</t>
  </si>
  <si>
    <t>7</t>
  </si>
  <si>
    <t xml:space="preserve">Dot éco machine : </t>
  </si>
  <si>
    <t>68725</t>
  </si>
  <si>
    <t>8</t>
  </si>
  <si>
    <t>Citroën Jumper rallongé</t>
  </si>
  <si>
    <t>10</t>
  </si>
  <si>
    <t>Dot amort Jumper 56/360 x 25% x 19000</t>
  </si>
  <si>
    <t>11</t>
  </si>
  <si>
    <t>régularisation vte Jumper Giraudet</t>
  </si>
  <si>
    <t>12</t>
  </si>
  <si>
    <t>Sortie patrimoine Jumper</t>
  </si>
  <si>
    <t>16</t>
  </si>
  <si>
    <t>Annulation stock initial</t>
  </si>
  <si>
    <t>17</t>
  </si>
  <si>
    <t>Reprise dépréciation stock init</t>
  </si>
  <si>
    <t>18</t>
  </si>
  <si>
    <t xml:space="preserve">Stock final </t>
  </si>
  <si>
    <t>Stock final</t>
  </si>
  <si>
    <t>19</t>
  </si>
  <si>
    <t>Dépréciation SF</t>
  </si>
  <si>
    <t>4011</t>
  </si>
  <si>
    <t>20</t>
  </si>
  <si>
    <t>Régul écart de change £9862.80</t>
  </si>
  <si>
    <t>21</t>
  </si>
  <si>
    <t>Solde (-£438+14081,52)/0.8591</t>
  </si>
  <si>
    <t>4772</t>
  </si>
  <si>
    <t>22</t>
  </si>
  <si>
    <t>MA FOREST avoir s/324538 d'achat</t>
  </si>
  <si>
    <t>44586</t>
  </si>
  <si>
    <t>411237</t>
  </si>
  <si>
    <t>23</t>
  </si>
  <si>
    <t>régul  5697.57FS x 0.9189-5260</t>
  </si>
  <si>
    <t>4761</t>
  </si>
  <si>
    <t>24</t>
  </si>
  <si>
    <t>Prov perte de change WENGER</t>
  </si>
  <si>
    <t>25</t>
  </si>
  <si>
    <t>Primes Antoine (1500) Odile (1800)</t>
  </si>
  <si>
    <t>428</t>
  </si>
  <si>
    <t>645</t>
  </si>
  <si>
    <t>26</t>
  </si>
  <si>
    <t>Charges à payer s/primes 41%</t>
  </si>
  <si>
    <t>438</t>
  </si>
  <si>
    <t>Charges à payer s/primes</t>
  </si>
  <si>
    <t>686</t>
  </si>
  <si>
    <t>27</t>
  </si>
  <si>
    <t>BNP Optimal 15218.33- (15x997.12)</t>
  </si>
  <si>
    <t>28</t>
  </si>
  <si>
    <t>Caillet irrécouvrable NPAI</t>
  </si>
  <si>
    <t>78174</t>
  </si>
  <si>
    <t>29</t>
  </si>
  <si>
    <t>30</t>
  </si>
  <si>
    <t>Bailly diminut° créance</t>
  </si>
  <si>
    <t>31</t>
  </si>
  <si>
    <t>MATHIEU Douteux</t>
  </si>
  <si>
    <t>411126</t>
  </si>
  <si>
    <t>MATHIEU</t>
  </si>
  <si>
    <t>32</t>
  </si>
  <si>
    <t>411157</t>
  </si>
  <si>
    <t>411167</t>
  </si>
  <si>
    <t>33</t>
  </si>
  <si>
    <t>JEANDEL</t>
  </si>
  <si>
    <t>411189</t>
  </si>
  <si>
    <t>34</t>
  </si>
  <si>
    <t>KAABECH</t>
  </si>
  <si>
    <t>68174</t>
  </si>
  <si>
    <t>35</t>
  </si>
  <si>
    <t>dép clients douteux selon tableau</t>
  </si>
  <si>
    <t>36</t>
  </si>
  <si>
    <t>IS à Payer</t>
  </si>
  <si>
    <t>280510</t>
  </si>
  <si>
    <t>par action</t>
  </si>
  <si>
    <t>Qté</t>
  </si>
  <si>
    <t>intérêt statutaire</t>
  </si>
  <si>
    <t>superdividende</t>
  </si>
  <si>
    <t>TOTAL</t>
  </si>
  <si>
    <t>entreprise nouvellement créée, règlement en une seule fois le 15 mai</t>
  </si>
  <si>
    <t>Total des acomptes</t>
  </si>
  <si>
    <t>Référence</t>
  </si>
  <si>
    <t xml:space="preserve">Montant </t>
  </si>
  <si>
    <t xml:space="preserve">Montant brut </t>
  </si>
  <si>
    <t>Bilan</t>
  </si>
  <si>
    <t>BJ</t>
  </si>
  <si>
    <t xml:space="preserve">Dotations aux amortissements </t>
  </si>
  <si>
    <t>Balance</t>
  </si>
  <si>
    <t>Tableau immob</t>
  </si>
  <si>
    <t>Sources de compararaison</t>
  </si>
  <si>
    <t>Amortissement total</t>
  </si>
  <si>
    <t>Créances douteuses</t>
  </si>
  <si>
    <t>Total des créances douteuses</t>
  </si>
  <si>
    <t>Tableau des créances</t>
  </si>
  <si>
    <t>Actif = passif</t>
  </si>
  <si>
    <t>Résultat</t>
  </si>
  <si>
    <t>Commentaire</t>
  </si>
  <si>
    <t>Tableau de contrôle des travaux d'inventaire avec les états financiers</t>
  </si>
  <si>
    <t>Valeur nette</t>
  </si>
  <si>
    <t>BK</t>
  </si>
  <si>
    <t>Montants conformes</t>
  </si>
  <si>
    <t>nbre d'actions</t>
  </si>
  <si>
    <t>dividende</t>
  </si>
  <si>
    <t>total</t>
  </si>
  <si>
    <t>Affectation des dividendes à chaque actionnaire</t>
  </si>
  <si>
    <t>Calcul du dividende par action</t>
  </si>
  <si>
    <t>Débit</t>
  </si>
  <si>
    <t>Crédit</t>
  </si>
  <si>
    <t xml:space="preserve">Madame Bénédicte VANIER </t>
  </si>
  <si>
    <t>Monsieur Christian MOCOY</t>
  </si>
  <si>
    <t>Madame MA FOREST</t>
  </si>
  <si>
    <t>Comptabilisation de l'affectation du Rt</t>
  </si>
  <si>
    <t>Selon AGO du …</t>
  </si>
  <si>
    <t>N° Cpte</t>
  </si>
  <si>
    <t>Libellé</t>
  </si>
  <si>
    <t>Totaux</t>
  </si>
  <si>
    <t>GA (68112)</t>
  </si>
  <si>
    <t>Stock de meubles</t>
  </si>
  <si>
    <t>Dépréciation stock de meubles</t>
  </si>
  <si>
    <t>Enoncé</t>
  </si>
  <si>
    <t>Conforme à l'énoncé</t>
  </si>
  <si>
    <t>BT</t>
  </si>
  <si>
    <t>BU</t>
  </si>
  <si>
    <t>Dépréciation créances douteuses</t>
  </si>
  <si>
    <t>BY</t>
  </si>
  <si>
    <t>Dotations de l'année</t>
  </si>
  <si>
    <t>DI</t>
  </si>
  <si>
    <t>Compte d'attente</t>
  </si>
  <si>
    <t>OK Soldé</t>
  </si>
  <si>
    <t>Empunts</t>
  </si>
  <si>
    <t>Tableau d'emprunt</t>
  </si>
  <si>
    <t>DU</t>
  </si>
  <si>
    <t>Rt Bilan = Rt Compte de Rt</t>
  </si>
  <si>
    <t>CO / EE</t>
  </si>
  <si>
    <t>Compte de Rt</t>
  </si>
  <si>
    <t>HN / DI</t>
  </si>
  <si>
    <t>= augm amortis d'exploit</t>
  </si>
  <si>
    <t>Immobilisations &amp; Stocks</t>
  </si>
  <si>
    <t>Passif du bilan</t>
  </si>
  <si>
    <r>
      <t>Tableau des créances douteuses au 31/08/20N (</t>
    </r>
    <r>
      <rPr>
        <b/>
        <sz val="12"/>
        <color rgb="FF993366"/>
        <rFont val="Arial"/>
        <family val="2"/>
      </rPr>
      <t>CORRIGE)</t>
    </r>
  </si>
  <si>
    <t>2900 * 25% * (23+30)/360</t>
  </si>
  <si>
    <t>Dot fiscale (2900*31,25%*2/12)-(dot éco)</t>
  </si>
  <si>
    <t>Régularisation acquisition Jumper neuf</t>
  </si>
  <si>
    <t>Montant Bilan 31/12/2021</t>
  </si>
  <si>
    <t>Acquisitions 2022</t>
  </si>
  <si>
    <t>Cessions 2022</t>
  </si>
  <si>
    <t>Total Immob 31/12/2022</t>
  </si>
  <si>
    <r>
      <t xml:space="preserve"> 2- Immobilisations au 31/12/2022       </t>
    </r>
    <r>
      <rPr>
        <b/>
        <sz val="14"/>
        <color rgb="FFFF0000"/>
        <rFont val="Arial"/>
        <family val="2"/>
      </rPr>
      <t>CORRIGE</t>
    </r>
  </si>
  <si>
    <t>Dotation au 31/12/2021</t>
  </si>
  <si>
    <t>Dotation 2022</t>
  </si>
  <si>
    <t>Dot Except. Amort 2022</t>
  </si>
  <si>
    <t>Cumul amort au 31/12/2022</t>
  </si>
  <si>
    <t>756</t>
  </si>
  <si>
    <t>à 25%</t>
  </si>
  <si>
    <t>Planning prévisionnel pour liquider l'IS 2022</t>
  </si>
  <si>
    <t>Liquidation de l'IS 2021</t>
  </si>
  <si>
    <t>Constation IS 2021</t>
  </si>
  <si>
    <t>Constation IS 2022</t>
  </si>
  <si>
    <t>Cottage de Lyon 2020</t>
  </si>
  <si>
    <t>18/01/2023 15:03:21</t>
  </si>
  <si>
    <t>État préparatoire à la Balance générale</t>
  </si>
  <si>
    <t>Du journal AC au journal VE</t>
  </si>
  <si>
    <t>Du compte 1 au compte ZZZZZZZZZZZZZZZ</t>
  </si>
  <si>
    <t>Du  01/01/2022  au  31/12/2022</t>
  </si>
  <si>
    <t>Filtre sur les écritures</t>
  </si>
  <si>
    <t>Validées / Non validées / Simulées</t>
  </si>
  <si>
    <t>Comptes</t>
  </si>
  <si>
    <t>Comptes mouvementés</t>
  </si>
  <si>
    <t>Centralisation des tiers</t>
  </si>
  <si>
    <t>Aucune</t>
  </si>
  <si>
    <t>Compte</t>
  </si>
  <si>
    <t>Intitulé</t>
  </si>
  <si>
    <t>101</t>
  </si>
  <si>
    <t>Capital</t>
  </si>
  <si>
    <t>1061</t>
  </si>
  <si>
    <t>1068</t>
  </si>
  <si>
    <t>Autres réserves</t>
  </si>
  <si>
    <t>164</t>
  </si>
  <si>
    <t>Emprunts auprès des établissements de crédit</t>
  </si>
  <si>
    <t>Total Classe 1</t>
  </si>
  <si>
    <t>0,00</t>
  </si>
  <si>
    <t>113 612,32</t>
  </si>
  <si>
    <t>-113 612,32</t>
  </si>
  <si>
    <t>207</t>
  </si>
  <si>
    <t>Fonds commercial</t>
  </si>
  <si>
    <t>Installations générales</t>
  </si>
  <si>
    <t>2181</t>
  </si>
  <si>
    <t>Installations générales, agencements, aménagements divers</t>
  </si>
  <si>
    <t>Matériel de transport</t>
  </si>
  <si>
    <t>2183</t>
  </si>
  <si>
    <t>Matériel de bureau et matériel informatique</t>
  </si>
  <si>
    <t>Amortis matériel industriel</t>
  </si>
  <si>
    <t>28181</t>
  </si>
  <si>
    <t>Amortis instal générales</t>
  </si>
  <si>
    <t>Amortis matériel de transport</t>
  </si>
  <si>
    <t>28183</t>
  </si>
  <si>
    <t>Amortis Matériel info et de bureau</t>
  </si>
  <si>
    <t>Total Classe 2</t>
  </si>
  <si>
    <t>105 255,00</t>
  </si>
  <si>
    <t>13 375,33</t>
  </si>
  <si>
    <t>91 879,67</t>
  </si>
  <si>
    <t>stock de meubles</t>
  </si>
  <si>
    <t>dépréciation stock</t>
  </si>
  <si>
    <t>Total Classe 3</t>
  </si>
  <si>
    <t>26 783,59</t>
  </si>
  <si>
    <t>424,50</t>
  </si>
  <si>
    <t>26 359,09</t>
  </si>
  <si>
    <t>Fournisseur MA FOREST</t>
  </si>
  <si>
    <t>4012</t>
  </si>
  <si>
    <t>Autres fournisseurs</t>
  </si>
  <si>
    <t>Kaabeche</t>
  </si>
  <si>
    <t>411212</t>
  </si>
  <si>
    <t>Duval</t>
  </si>
  <si>
    <t>411225</t>
  </si>
  <si>
    <t>Barbet</t>
  </si>
  <si>
    <t>411232</t>
  </si>
  <si>
    <t>Millet</t>
  </si>
  <si>
    <t>Wenger (Suisse)</t>
  </si>
  <si>
    <t>411241</t>
  </si>
  <si>
    <t>Marquet</t>
  </si>
  <si>
    <t>411242</t>
  </si>
  <si>
    <t>Albert</t>
  </si>
  <si>
    <t>411245</t>
  </si>
  <si>
    <t>Innocenti</t>
  </si>
  <si>
    <t>411246</t>
  </si>
  <si>
    <t>El Fouari</t>
  </si>
  <si>
    <t>411247</t>
  </si>
  <si>
    <t>Kerakoc</t>
  </si>
  <si>
    <t>411248</t>
  </si>
  <si>
    <t>Carrara</t>
  </si>
  <si>
    <t>Clients douteux ou litigieux</t>
  </si>
  <si>
    <t>431</t>
  </si>
  <si>
    <t>Sécurité sociale</t>
  </si>
  <si>
    <t>Etat - Impôts sur les bénéfices</t>
  </si>
  <si>
    <t>445621</t>
  </si>
  <si>
    <t>TVA sur immobilisations 20%</t>
  </si>
  <si>
    <t>445661</t>
  </si>
  <si>
    <t>TVA déductible 20%</t>
  </si>
  <si>
    <t>TVA collectée 20%</t>
  </si>
  <si>
    <t>Provisions pour dépréciation des comptes de clients</t>
  </si>
  <si>
    <t>Total Classe 4</t>
  </si>
  <si>
    <t>49 748,94</t>
  </si>
  <si>
    <t>36 239,82</t>
  </si>
  <si>
    <t>13 509,12</t>
  </si>
  <si>
    <t>508</t>
  </si>
  <si>
    <t>Autres valeurs mobilières de placement et créances assimiées</t>
  </si>
  <si>
    <t>512</t>
  </si>
  <si>
    <t>Banque</t>
  </si>
  <si>
    <t>531</t>
  </si>
  <si>
    <t>Caisse siège social</t>
  </si>
  <si>
    <t>Total Classe 5</t>
  </si>
  <si>
    <t>29 718,01</t>
  </si>
  <si>
    <t>6061</t>
  </si>
  <si>
    <t>Eau, Electricité, Essence, Gaz</t>
  </si>
  <si>
    <t>6063</t>
  </si>
  <si>
    <t>Fournitures d'entretien et de petit équipement</t>
  </si>
  <si>
    <t>6064</t>
  </si>
  <si>
    <t>Fournitures administratives</t>
  </si>
  <si>
    <t>607</t>
  </si>
  <si>
    <t>achats de meubles</t>
  </si>
  <si>
    <t>611</t>
  </si>
  <si>
    <t>sous traitance de meubles</t>
  </si>
  <si>
    <t>613</t>
  </si>
  <si>
    <t>Locations</t>
  </si>
  <si>
    <t>616</t>
  </si>
  <si>
    <t>Primes d'assurance</t>
  </si>
  <si>
    <t>622</t>
  </si>
  <si>
    <t>Rémunérations d'intermédiaires et honoraires</t>
  </si>
  <si>
    <t>623</t>
  </si>
  <si>
    <t>Publicité, publications, relations publiques</t>
  </si>
  <si>
    <t>625</t>
  </si>
  <si>
    <t>Déplacements, missions et réceptions</t>
  </si>
  <si>
    <t>626</t>
  </si>
  <si>
    <t>Frais postaux et de télécommunications</t>
  </si>
  <si>
    <t>627</t>
  </si>
  <si>
    <t>Services bancaires</t>
  </si>
  <si>
    <t>633</t>
  </si>
  <si>
    <t>Impôts, taxes et versements sur rémunérations (autres org.)</t>
  </si>
  <si>
    <t>6411</t>
  </si>
  <si>
    <t>Salaires, appointements</t>
  </si>
  <si>
    <t>6412</t>
  </si>
  <si>
    <t>Congés payés</t>
  </si>
  <si>
    <t>6451</t>
  </si>
  <si>
    <t>Cotisations à l'URSSAF</t>
  </si>
  <si>
    <t>658</t>
  </si>
  <si>
    <t>Charges diverses de gestion courante</t>
  </si>
  <si>
    <t>661</t>
  </si>
  <si>
    <t>Charges d'intérêts</t>
  </si>
  <si>
    <t>Intérêts des emprunts et dettes</t>
  </si>
  <si>
    <t>666</t>
  </si>
  <si>
    <t>Pertes de change financières</t>
  </si>
  <si>
    <t>671</t>
  </si>
  <si>
    <t>Charges exceptionnelles</t>
  </si>
  <si>
    <t>Total Classe 6</t>
  </si>
  <si>
    <t>530 961,46</t>
  </si>
  <si>
    <t>70701</t>
  </si>
  <si>
    <t>vente de meubles négoce</t>
  </si>
  <si>
    <t>70702</t>
  </si>
  <si>
    <t>Vente meubles peints</t>
  </si>
  <si>
    <t>7085</t>
  </si>
  <si>
    <t>Ports et aménag de meubles facturés</t>
  </si>
  <si>
    <t>758</t>
  </si>
  <si>
    <t>Produits divers de gestion courante</t>
  </si>
  <si>
    <t>766</t>
  </si>
  <si>
    <t>Gains de change financiers</t>
  </si>
  <si>
    <t>Total Classe 7</t>
  </si>
  <si>
    <t>578 815,03</t>
  </si>
  <si>
    <t>-578 815,03</t>
  </si>
  <si>
    <t>Total Balance</t>
  </si>
  <si>
    <t>742 467,00</t>
  </si>
  <si>
    <t>Total des comptes de Bilan</t>
  </si>
  <si>
    <t>Total des comptes de Résultat</t>
  </si>
  <si>
    <t>2/2</t>
  </si>
  <si>
    <t>AU 31/12/2021</t>
  </si>
  <si>
    <t>Au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</si>
</sst>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#,##0.00\ &quot;€&quot;"/>
    <numFmt numFmtId="167" formatCode="ddmmyy"/>
  </numFmts>
  <fonts count="26" x14ac:knownFonts="1">
    <font>
      <sz val="12"/>
      <name val="Times New Roman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rgb="FFFF0000"/>
      <name val="Arial"/>
      <family val="2"/>
    </font>
    <font>
      <i/>
      <sz val="11"/>
      <name val="Arial"/>
      <family val="2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rgb="FF632423"/>
      <name val="Calibri"/>
      <family val="2"/>
      <scheme val="minor"/>
    </font>
    <font>
      <sz val="11"/>
      <name val="Times New Roman"/>
      <family val="1"/>
    </font>
    <font>
      <b/>
      <sz val="11"/>
      <name val="Arial"/>
      <family val="2"/>
    </font>
    <font>
      <i/>
      <sz val="10"/>
      <name val="Arial"/>
      <family val="2"/>
    </font>
    <font>
      <b/>
      <sz val="16"/>
      <color indexed="9"/>
      <name val="Arial"/>
      <family val="2"/>
    </font>
    <font>
      <b/>
      <sz val="12"/>
      <color rgb="FF993366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1" fillId="0" borderId="0"/>
    <xf numFmtId="164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259">
    <xf numFmtId="0" fontId="0" fillId="0" borderId="0" xfId="0"/>
    <xf numFmtId="0" fontId="9" fillId="0" borderId="0" xfId="0" applyFont="1"/>
    <xf numFmtId="0" fontId="9" fillId="0" borderId="9" xfId="0" applyFont="1" applyBorder="1"/>
    <xf numFmtId="0" fontId="9" fillId="0" borderId="0" xfId="0" applyFont="1" applyAlignment="1">
      <alignment horizontal="center" vertical="center"/>
    </xf>
    <xf numFmtId="164" fontId="9" fillId="0" borderId="0" xfId="4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164" fontId="9" fillId="0" borderId="9" xfId="4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164" fontId="9" fillId="0" borderId="0" xfId="0" applyNumberFormat="1" applyFont="1"/>
    <xf numFmtId="164" fontId="6" fillId="0" borderId="9" xfId="4" applyFont="1" applyBorder="1"/>
    <xf numFmtId="164" fontId="6" fillId="0" borderId="1" xfId="4" applyFont="1" applyBorder="1"/>
    <xf numFmtId="164" fontId="6" fillId="0" borderId="11" xfId="4" applyFont="1" applyBorder="1"/>
    <xf numFmtId="0" fontId="6" fillId="0" borderId="6" xfId="0" applyFont="1" applyBorder="1"/>
    <xf numFmtId="164" fontId="6" fillId="0" borderId="28" xfId="4" applyFont="1" applyBorder="1"/>
    <xf numFmtId="164" fontId="6" fillId="0" borderId="3" xfId="4" applyFont="1" applyBorder="1"/>
    <xf numFmtId="164" fontId="6" fillId="0" borderId="10" xfId="4" applyFont="1" applyBorder="1"/>
    <xf numFmtId="164" fontId="6" fillId="0" borderId="27" xfId="4" applyFont="1" applyBorder="1"/>
    <xf numFmtId="0" fontId="6" fillId="0" borderId="0" xfId="0" applyFont="1"/>
    <xf numFmtId="164" fontId="6" fillId="0" borderId="26" xfId="0" applyNumberFormat="1" applyFont="1" applyBorder="1"/>
    <xf numFmtId="164" fontId="6" fillId="0" borderId="25" xfId="0" applyNumberFormat="1" applyFont="1" applyBorder="1"/>
    <xf numFmtId="164" fontId="6" fillId="0" borderId="5" xfId="0" applyNumberFormat="1" applyFont="1" applyBorder="1"/>
    <xf numFmtId="0" fontId="9" fillId="0" borderId="12" xfId="0" applyFont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14" fontId="6" fillId="3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14" fontId="9" fillId="4" borderId="9" xfId="0" applyNumberFormat="1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left" vertical="center" wrapText="1"/>
    </xf>
    <xf numFmtId="14" fontId="9" fillId="4" borderId="9" xfId="0" applyNumberFormat="1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64" fontId="9" fillId="5" borderId="9" xfId="4" applyFont="1" applyFill="1" applyBorder="1" applyAlignment="1">
      <alignment horizontal="center" vertical="center" wrapText="1"/>
    </xf>
    <xf numFmtId="164" fontId="7" fillId="5" borderId="9" xfId="4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164" fontId="9" fillId="5" borderId="9" xfId="4" applyFont="1" applyFill="1" applyBorder="1" applyAlignment="1">
      <alignment horizontal="center" vertical="center"/>
    </xf>
    <xf numFmtId="164" fontId="7" fillId="5" borderId="9" xfId="4" applyFont="1" applyFill="1" applyBorder="1" applyAlignment="1">
      <alignment horizontal="center" vertical="center"/>
    </xf>
    <xf numFmtId="164" fontId="9" fillId="6" borderId="9" xfId="0" applyNumberFormat="1" applyFont="1" applyFill="1" applyBorder="1" applyAlignment="1">
      <alignment horizontal="center" vertical="center"/>
    </xf>
    <xf numFmtId="164" fontId="7" fillId="6" borderId="9" xfId="0" applyNumberFormat="1" applyFont="1" applyFill="1" applyBorder="1" applyAlignment="1">
      <alignment horizontal="center" vertical="center"/>
    </xf>
    <xf numFmtId="164" fontId="7" fillId="0" borderId="9" xfId="4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4" fontId="9" fillId="5" borderId="9" xfId="4" applyFont="1" applyFill="1" applyBorder="1" applyAlignment="1">
      <alignment horizontal="right" vertical="center"/>
    </xf>
    <xf numFmtId="164" fontId="9" fillId="6" borderId="9" xfId="4" applyFont="1" applyFill="1" applyBorder="1" applyAlignment="1">
      <alignment horizontal="right" vertical="center"/>
    </xf>
    <xf numFmtId="0" fontId="9" fillId="6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164" fontId="9" fillId="6" borderId="9" xfId="4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164" fontId="9" fillId="5" borderId="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4" fontId="7" fillId="0" borderId="10" xfId="4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/>
    </xf>
    <xf numFmtId="164" fontId="7" fillId="5" borderId="25" xfId="4" applyFont="1" applyFill="1" applyBorder="1" applyAlignment="1">
      <alignment horizontal="center" vertical="center"/>
    </xf>
    <xf numFmtId="164" fontId="7" fillId="6" borderId="25" xfId="4" applyFont="1" applyFill="1" applyBorder="1" applyAlignment="1">
      <alignment horizontal="center" vertical="center"/>
    </xf>
    <xf numFmtId="164" fontId="7" fillId="6" borderId="25" xfId="0" applyNumberFormat="1" applyFont="1" applyFill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164" fontId="9" fillId="0" borderId="12" xfId="0" applyNumberFormat="1" applyFont="1" applyBorder="1" applyAlignment="1">
      <alignment horizontal="center" vertical="center"/>
    </xf>
    <xf numFmtId="164" fontId="9" fillId="0" borderId="12" xfId="4" applyFont="1" applyBorder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9" fillId="0" borderId="2" xfId="0" quotePrefix="1" applyFont="1" applyBorder="1" applyAlignment="1">
      <alignment horizontal="justify" vertical="center" wrapText="1"/>
    </xf>
    <xf numFmtId="164" fontId="9" fillId="0" borderId="0" xfId="4" applyFont="1" applyFill="1" applyBorder="1" applyAlignment="1">
      <alignment horizontal="center" vertical="center"/>
    </xf>
    <xf numFmtId="9" fontId="9" fillId="0" borderId="0" xfId="3" applyFont="1"/>
    <xf numFmtId="0" fontId="7" fillId="0" borderId="9" xfId="0" applyFont="1" applyFill="1" applyBorder="1" applyAlignment="1">
      <alignment horizontal="center" vertical="center" wrapText="1"/>
    </xf>
    <xf numFmtId="164" fontId="7" fillId="0" borderId="9" xfId="4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64" fontId="9" fillId="0" borderId="9" xfId="4" applyFont="1" applyBorder="1"/>
    <xf numFmtId="165" fontId="14" fillId="0" borderId="8" xfId="4" applyNumberFormat="1" applyFont="1" applyBorder="1"/>
    <xf numFmtId="0" fontId="14" fillId="0" borderId="8" xfId="0" applyFont="1" applyBorder="1"/>
    <xf numFmtId="166" fontId="9" fillId="0" borderId="0" xfId="0" applyNumberFormat="1" applyFont="1"/>
    <xf numFmtId="0" fontId="9" fillId="5" borderId="9" xfId="0" applyFont="1" applyFill="1" applyBorder="1"/>
    <xf numFmtId="165" fontId="9" fillId="5" borderId="9" xfId="0" applyNumberFormat="1" applyFont="1" applyFill="1" applyBorder="1" applyAlignment="1">
      <alignment horizontal="center"/>
    </xf>
    <xf numFmtId="12" fontId="9" fillId="5" borderId="9" xfId="0" applyNumberFormat="1" applyFont="1" applyFill="1" applyBorder="1" applyAlignment="1">
      <alignment horizontal="center"/>
    </xf>
    <xf numFmtId="0" fontId="9" fillId="5" borderId="10" xfId="0" applyFont="1" applyFill="1" applyBorder="1"/>
    <xf numFmtId="0" fontId="9" fillId="5" borderId="10" xfId="0" applyFont="1" applyFill="1" applyBorder="1" applyAlignment="1">
      <alignment horizontal="center"/>
    </xf>
    <xf numFmtId="12" fontId="9" fillId="5" borderId="10" xfId="0" applyNumberFormat="1" applyFont="1" applyFill="1" applyBorder="1" applyAlignment="1">
      <alignment horizontal="center"/>
    </xf>
    <xf numFmtId="165" fontId="14" fillId="0" borderId="8" xfId="0" applyNumberFormat="1" applyFont="1" applyBorder="1" applyAlignment="1">
      <alignment horizontal="center"/>
    </xf>
    <xf numFmtId="12" fontId="14" fillId="0" borderId="8" xfId="0" applyNumberFormat="1" applyFont="1" applyBorder="1" applyAlignment="1">
      <alignment horizontal="center"/>
    </xf>
    <xf numFmtId="0" fontId="14" fillId="0" borderId="7" xfId="0" applyFont="1" applyBorder="1"/>
    <xf numFmtId="165" fontId="14" fillId="0" borderId="7" xfId="0" applyNumberFormat="1" applyFont="1" applyBorder="1" applyAlignment="1">
      <alignment horizontal="center"/>
    </xf>
    <xf numFmtId="12" fontId="14" fillId="0" borderId="7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164" fontId="9" fillId="5" borderId="9" xfId="4" applyFont="1" applyFill="1" applyBorder="1" applyAlignment="1">
      <alignment horizontal="center"/>
    </xf>
    <xf numFmtId="164" fontId="9" fillId="5" borderId="10" xfId="4" applyFont="1" applyFill="1" applyBorder="1" applyAlignment="1">
      <alignment horizontal="center"/>
    </xf>
    <xf numFmtId="14" fontId="9" fillId="5" borderId="9" xfId="0" applyNumberFormat="1" applyFont="1" applyFill="1" applyBorder="1" applyAlignment="1">
      <alignment horizontal="center"/>
    </xf>
    <xf numFmtId="14" fontId="9" fillId="5" borderId="10" xfId="0" applyNumberFormat="1" applyFont="1" applyFill="1" applyBorder="1" applyAlignment="1">
      <alignment horizontal="center"/>
    </xf>
    <xf numFmtId="164" fontId="14" fillId="0" borderId="8" xfId="4" applyFont="1" applyBorder="1" applyAlignment="1">
      <alignment horizontal="center"/>
    </xf>
    <xf numFmtId="164" fontId="14" fillId="0" borderId="7" xfId="4" applyFont="1" applyBorder="1" applyAlignment="1">
      <alignment horizontal="center"/>
    </xf>
    <xf numFmtId="14" fontId="14" fillId="0" borderId="8" xfId="0" applyNumberFormat="1" applyFont="1" applyBorder="1" applyAlignment="1">
      <alignment horizontal="center"/>
    </xf>
    <xf numFmtId="14" fontId="14" fillId="0" borderId="7" xfId="0" applyNumberFormat="1" applyFont="1" applyBorder="1" applyAlignment="1">
      <alignment horizontal="center"/>
    </xf>
    <xf numFmtId="0" fontId="9" fillId="7" borderId="9" xfId="0" applyFont="1" applyFill="1" applyBorder="1"/>
    <xf numFmtId="14" fontId="9" fillId="7" borderId="9" xfId="0" applyNumberFormat="1" applyFont="1" applyFill="1" applyBorder="1" applyAlignment="1">
      <alignment horizontal="center"/>
    </xf>
    <xf numFmtId="165" fontId="9" fillId="7" borderId="9" xfId="0" applyNumberFormat="1" applyFont="1" applyFill="1" applyBorder="1" applyAlignment="1">
      <alignment horizontal="center"/>
    </xf>
    <xf numFmtId="12" fontId="9" fillId="7" borderId="9" xfId="0" applyNumberFormat="1" applyFont="1" applyFill="1" applyBorder="1" applyAlignment="1">
      <alignment horizontal="center"/>
    </xf>
    <xf numFmtId="0" fontId="9" fillId="8" borderId="9" xfId="0" applyFont="1" applyFill="1" applyBorder="1"/>
    <xf numFmtId="14" fontId="9" fillId="8" borderId="9" xfId="0" applyNumberFormat="1" applyFont="1" applyFill="1" applyBorder="1" applyAlignment="1">
      <alignment horizontal="center"/>
    </xf>
    <xf numFmtId="165" fontId="9" fillId="8" borderId="9" xfId="0" applyNumberFormat="1" applyFont="1" applyFill="1" applyBorder="1" applyAlignment="1">
      <alignment horizontal="center"/>
    </xf>
    <xf numFmtId="12" fontId="9" fillId="8" borderId="9" xfId="0" applyNumberFormat="1" applyFont="1" applyFill="1" applyBorder="1" applyAlignment="1">
      <alignment horizontal="center"/>
    </xf>
    <xf numFmtId="164" fontId="9" fillId="8" borderId="9" xfId="4" applyFont="1" applyFill="1" applyBorder="1" applyAlignment="1">
      <alignment horizontal="center"/>
    </xf>
    <xf numFmtId="0" fontId="9" fillId="8" borderId="10" xfId="0" applyFont="1" applyFill="1" applyBorder="1"/>
    <xf numFmtId="14" fontId="9" fillId="8" borderId="10" xfId="0" applyNumberFormat="1" applyFont="1" applyFill="1" applyBorder="1" applyAlignment="1">
      <alignment horizontal="center"/>
    </xf>
    <xf numFmtId="165" fontId="9" fillId="8" borderId="10" xfId="0" applyNumberFormat="1" applyFont="1" applyFill="1" applyBorder="1" applyAlignment="1">
      <alignment horizontal="center"/>
    </xf>
    <xf numFmtId="0" fontId="9" fillId="9" borderId="9" xfId="0" applyFont="1" applyFill="1" applyBorder="1"/>
    <xf numFmtId="14" fontId="9" fillId="9" borderId="9" xfId="0" applyNumberFormat="1" applyFont="1" applyFill="1" applyBorder="1" applyAlignment="1">
      <alignment horizontal="center"/>
    </xf>
    <xf numFmtId="165" fontId="9" fillId="9" borderId="9" xfId="0" applyNumberFormat="1" applyFont="1" applyFill="1" applyBorder="1" applyAlignment="1">
      <alignment horizontal="center"/>
    </xf>
    <xf numFmtId="12" fontId="9" fillId="9" borderId="9" xfId="0" applyNumberFormat="1" applyFont="1" applyFill="1" applyBorder="1" applyAlignment="1">
      <alignment horizontal="center"/>
    </xf>
    <xf numFmtId="164" fontId="9" fillId="0" borderId="9" xfId="4" applyFont="1" applyFill="1" applyBorder="1" applyAlignment="1">
      <alignment horizontal="center"/>
    </xf>
    <xf numFmtId="164" fontId="9" fillId="0" borderId="9" xfId="0" applyNumberFormat="1" applyFont="1" applyBorder="1"/>
    <xf numFmtId="0" fontId="15" fillId="0" borderId="0" xfId="0" applyFont="1"/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 wrapText="1"/>
    </xf>
    <xf numFmtId="164" fontId="16" fillId="0" borderId="10" xfId="4" applyFont="1" applyFill="1" applyBorder="1" applyAlignment="1">
      <alignment horizontal="center"/>
    </xf>
    <xf numFmtId="167" fontId="15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/>
    <xf numFmtId="164" fontId="15" fillId="0" borderId="10" xfId="4" applyFont="1" applyFill="1" applyBorder="1" applyAlignment="1">
      <alignment horizontal="right"/>
    </xf>
    <xf numFmtId="167" fontId="15" fillId="0" borderId="0" xfId="0" applyNumberFormat="1" applyFont="1"/>
    <xf numFmtId="167" fontId="15" fillId="0" borderId="7" xfId="0" applyNumberFormat="1" applyFont="1" applyFill="1" applyBorder="1" applyAlignment="1">
      <alignment horizontal="center"/>
    </xf>
    <xf numFmtId="49" fontId="15" fillId="0" borderId="7" xfId="0" applyNumberFormat="1" applyFont="1" applyFill="1" applyBorder="1" applyAlignment="1">
      <alignment horizontal="center"/>
    </xf>
    <xf numFmtId="49" fontId="15" fillId="0" borderId="7" xfId="0" applyNumberFormat="1" applyFont="1" applyFill="1" applyBorder="1"/>
    <xf numFmtId="164" fontId="15" fillId="0" borderId="7" xfId="4" applyFont="1" applyFill="1" applyBorder="1" applyAlignment="1">
      <alignment horizontal="right"/>
    </xf>
    <xf numFmtId="167" fontId="15" fillId="0" borderId="8" xfId="0" applyNumberFormat="1" applyFont="1" applyFill="1" applyBorder="1" applyAlignment="1">
      <alignment horizontal="center"/>
    </xf>
    <xf numFmtId="49" fontId="15" fillId="0" borderId="8" xfId="0" applyNumberFormat="1" applyFont="1" applyFill="1" applyBorder="1" applyAlignment="1">
      <alignment horizontal="center"/>
    </xf>
    <xf numFmtId="49" fontId="15" fillId="0" borderId="8" xfId="0" applyNumberFormat="1" applyFont="1" applyFill="1" applyBorder="1"/>
    <xf numFmtId="164" fontId="15" fillId="0" borderId="8" xfId="4" applyFont="1" applyFill="1" applyBorder="1" applyAlignment="1">
      <alignment horizontal="right"/>
    </xf>
    <xf numFmtId="49" fontId="15" fillId="0" borderId="4" xfId="0" applyNumberFormat="1" applyFont="1" applyFill="1" applyBorder="1" applyAlignment="1">
      <alignment horizontal="center"/>
    </xf>
    <xf numFmtId="49" fontId="15" fillId="0" borderId="18" xfId="0" applyNumberFormat="1" applyFont="1" applyFill="1" applyBorder="1" applyAlignment="1">
      <alignment horizontal="center"/>
    </xf>
    <xf numFmtId="164" fontId="15" fillId="0" borderId="16" xfId="4" applyFont="1" applyFill="1" applyBorder="1" applyAlignment="1">
      <alignment horizontal="right"/>
    </xf>
    <xf numFmtId="164" fontId="15" fillId="0" borderId="23" xfId="4" applyFont="1" applyFill="1" applyBorder="1" applyAlignment="1">
      <alignment horizontal="right"/>
    </xf>
    <xf numFmtId="164" fontId="15" fillId="0" borderId="22" xfId="4" applyFont="1" applyFill="1" applyBorder="1" applyAlignment="1">
      <alignment horizontal="right"/>
    </xf>
    <xf numFmtId="0" fontId="17" fillId="0" borderId="0" xfId="0" applyFont="1"/>
    <xf numFmtId="0" fontId="15" fillId="0" borderId="9" xfId="0" applyFont="1" applyFill="1" applyBorder="1" applyAlignment="1">
      <alignment horizontal="center"/>
    </xf>
    <xf numFmtId="0" fontId="15" fillId="0" borderId="9" xfId="0" applyFont="1" applyFill="1" applyBorder="1"/>
    <xf numFmtId="164" fontId="16" fillId="0" borderId="9" xfId="4" applyFont="1" applyFill="1" applyBorder="1" applyAlignment="1">
      <alignment horizontal="right"/>
    </xf>
    <xf numFmtId="49" fontId="15" fillId="0" borderId="10" xfId="0" applyNumberFormat="1" applyFont="1" applyBorder="1" applyAlignment="1">
      <alignment horizontal="center"/>
    </xf>
    <xf numFmtId="49" fontId="15" fillId="0" borderId="10" xfId="0" applyNumberFormat="1" applyFont="1" applyBorder="1"/>
    <xf numFmtId="164" fontId="15" fillId="0" borderId="10" xfId="4" applyFont="1" applyBorder="1" applyAlignment="1">
      <alignment horizontal="right"/>
    </xf>
    <xf numFmtId="49" fontId="15" fillId="0" borderId="8" xfId="0" applyNumberFormat="1" applyFont="1" applyBorder="1" applyAlignment="1">
      <alignment horizontal="center"/>
    </xf>
    <xf numFmtId="49" fontId="15" fillId="0" borderId="8" xfId="0" applyNumberFormat="1" applyFont="1" applyBorder="1"/>
    <xf numFmtId="164" fontId="15" fillId="0" borderId="8" xfId="4" applyFont="1" applyBorder="1" applyAlignment="1">
      <alignment horizontal="right"/>
    </xf>
    <xf numFmtId="49" fontId="15" fillId="0" borderId="7" xfId="0" applyNumberFormat="1" applyFont="1" applyBorder="1" applyAlignment="1">
      <alignment horizontal="center"/>
    </xf>
    <xf numFmtId="49" fontId="15" fillId="0" borderId="7" xfId="0" applyNumberFormat="1" applyFont="1" applyBorder="1"/>
    <xf numFmtId="164" fontId="15" fillId="0" borderId="7" xfId="4" applyFont="1" applyBorder="1" applyAlignment="1">
      <alignment horizontal="right"/>
    </xf>
    <xf numFmtId="0" fontId="15" fillId="0" borderId="0" xfId="0" applyFont="1" applyAlignment="1">
      <alignment horizontal="center"/>
    </xf>
    <xf numFmtId="164" fontId="15" fillId="0" borderId="0" xfId="4" applyFont="1"/>
    <xf numFmtId="165" fontId="9" fillId="0" borderId="0" xfId="0" applyNumberFormat="1" applyFont="1"/>
    <xf numFmtId="14" fontId="10" fillId="0" borderId="0" xfId="0" applyNumberFormat="1" applyFont="1"/>
    <xf numFmtId="164" fontId="6" fillId="0" borderId="21" xfId="4" applyFont="1" applyBorder="1"/>
    <xf numFmtId="0" fontId="6" fillId="0" borderId="1" xfId="0" applyFont="1" applyBorder="1"/>
    <xf numFmtId="0" fontId="6" fillId="0" borderId="9" xfId="0" applyFont="1" applyBorder="1"/>
    <xf numFmtId="164" fontId="6" fillId="0" borderId="0" xfId="4" applyFont="1"/>
    <xf numFmtId="0" fontId="6" fillId="0" borderId="30" xfId="0" applyFont="1" applyBorder="1"/>
    <xf numFmtId="0" fontId="6" fillId="0" borderId="28" xfId="0" applyFont="1" applyBorder="1"/>
    <xf numFmtId="164" fontId="6" fillId="0" borderId="15" xfId="0" applyNumberFormat="1" applyFont="1" applyBorder="1"/>
    <xf numFmtId="164" fontId="6" fillId="0" borderId="29" xfId="4" applyFont="1" applyBorder="1"/>
    <xf numFmtId="14" fontId="6" fillId="3" borderId="21" xfId="0" applyNumberFormat="1" applyFont="1" applyFill="1" applyBorder="1" applyAlignment="1">
      <alignment horizontal="center" vertical="center"/>
    </xf>
    <xf numFmtId="164" fontId="6" fillId="0" borderId="24" xfId="4" applyFont="1" applyBorder="1"/>
    <xf numFmtId="0" fontId="6" fillId="0" borderId="3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/>
    </xf>
    <xf numFmtId="14" fontId="6" fillId="0" borderId="29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21" xfId="4" applyFont="1" applyFill="1" applyBorder="1" applyAlignment="1">
      <alignment horizontal="center" vertical="center"/>
    </xf>
    <xf numFmtId="9" fontId="8" fillId="0" borderId="21" xfId="4" applyNumberFormat="1" applyFont="1" applyBorder="1" applyAlignment="1">
      <alignment horizontal="center" vertical="center"/>
    </xf>
    <xf numFmtId="164" fontId="9" fillId="7" borderId="9" xfId="4" applyFont="1" applyFill="1" applyBorder="1" applyAlignment="1">
      <alignment horizontal="center"/>
    </xf>
    <xf numFmtId="164" fontId="9" fillId="7" borderId="9" xfId="0" applyNumberFormat="1" applyFont="1" applyFill="1" applyBorder="1"/>
    <xf numFmtId="164" fontId="7" fillId="0" borderId="9" xfId="0" applyNumberFormat="1" applyFont="1" applyBorder="1"/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top"/>
    </xf>
    <xf numFmtId="0" fontId="8" fillId="0" borderId="9" xfId="0" applyFont="1" applyBorder="1" applyAlignment="1">
      <alignment horizontal="center" vertical="center"/>
    </xf>
    <xf numFmtId="0" fontId="8" fillId="0" borderId="0" xfId="0" applyFont="1"/>
    <xf numFmtId="0" fontId="18" fillId="0" borderId="0" xfId="0" applyFont="1"/>
    <xf numFmtId="4" fontId="8" fillId="0" borderId="0" xfId="0" applyNumberFormat="1" applyFont="1"/>
    <xf numFmtId="0" fontId="8" fillId="0" borderId="2" xfId="0" applyFont="1" applyBorder="1"/>
    <xf numFmtId="4" fontId="8" fillId="0" borderId="21" xfId="0" applyNumberFormat="1" applyFont="1" applyBorder="1"/>
    <xf numFmtId="0" fontId="8" fillId="0" borderId="0" xfId="0" quotePrefix="1" applyFont="1"/>
    <xf numFmtId="4" fontId="8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/>
    <xf numFmtId="2" fontId="8" fillId="0" borderId="9" xfId="0" applyNumberFormat="1" applyFont="1" applyBorder="1" applyAlignment="1">
      <alignment horizontal="center"/>
    </xf>
    <xf numFmtId="4" fontId="8" fillId="0" borderId="9" xfId="0" applyNumberFormat="1" applyFont="1" applyBorder="1"/>
    <xf numFmtId="3" fontId="8" fillId="0" borderId="9" xfId="0" applyNumberFormat="1" applyFont="1" applyBorder="1"/>
    <xf numFmtId="3" fontId="8" fillId="0" borderId="9" xfId="0" applyNumberFormat="1" applyFont="1" applyBorder="1" applyAlignment="1">
      <alignment vertical="center"/>
    </xf>
    <xf numFmtId="4" fontId="8" fillId="0" borderId="9" xfId="0" applyNumberFormat="1" applyFont="1" applyBorder="1" applyAlignment="1">
      <alignment vertical="center"/>
    </xf>
    <xf numFmtId="164" fontId="8" fillId="0" borderId="9" xfId="4" applyFont="1" applyBorder="1"/>
    <xf numFmtId="2" fontId="19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justify" vertical="center"/>
    </xf>
    <xf numFmtId="0" fontId="8" fillId="10" borderId="9" xfId="0" applyFont="1" applyFill="1" applyBorder="1" applyAlignment="1">
      <alignment horizontal="center"/>
    </xf>
    <xf numFmtId="0" fontId="20" fillId="0" borderId="9" xfId="0" applyFont="1" applyBorder="1"/>
    <xf numFmtId="164" fontId="20" fillId="0" borderId="9" xfId="4" applyFont="1" applyBorder="1"/>
    <xf numFmtId="0" fontId="7" fillId="0" borderId="0" xfId="0" applyFont="1" applyAlignment="1"/>
    <xf numFmtId="165" fontId="8" fillId="0" borderId="9" xfId="4" applyNumberFormat="1" applyFont="1" applyBorder="1"/>
    <xf numFmtId="0" fontId="8" fillId="0" borderId="10" xfId="0" applyFont="1" applyBorder="1" applyAlignment="1">
      <alignment horizontal="center"/>
    </xf>
    <xf numFmtId="164" fontId="9" fillId="0" borderId="9" xfId="4" applyFont="1" applyBorder="1" applyAlignment="1">
      <alignment horizontal="center"/>
    </xf>
    <xf numFmtId="164" fontId="9" fillId="0" borderId="0" xfId="4" applyFont="1"/>
    <xf numFmtId="0" fontId="9" fillId="0" borderId="9" xfId="0" applyFont="1" applyBorder="1" applyAlignment="1">
      <alignment horizontal="left"/>
    </xf>
    <xf numFmtId="0" fontId="9" fillId="0" borderId="9" xfId="0" quotePrefix="1" applyFont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49" fontId="15" fillId="12" borderId="7" xfId="0" applyNumberFormat="1" applyFont="1" applyFill="1" applyBorder="1" applyAlignment="1">
      <alignment horizontal="center"/>
    </xf>
    <xf numFmtId="49" fontId="15" fillId="12" borderId="10" xfId="0" applyNumberFormat="1" applyFont="1" applyFill="1" applyBorder="1" applyAlignment="1">
      <alignment horizontal="center"/>
    </xf>
    <xf numFmtId="14" fontId="7" fillId="0" borderId="9" xfId="0" applyNumberFormat="1" applyFont="1" applyBorder="1" applyAlignment="1">
      <alignment horizontal="center" vertical="center" wrapText="1"/>
    </xf>
    <xf numFmtId="14" fontId="7" fillId="0" borderId="9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21" fillId="11" borderId="0" xfId="0" applyFont="1" applyFill="1" applyAlignment="1">
      <alignment horizontal="center"/>
    </xf>
    <xf numFmtId="0" fontId="0" fillId="11" borderId="0" xfId="0" applyFill="1" applyAlignment="1"/>
    <xf numFmtId="0" fontId="23" fillId="11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2" xfId="0" quotePrefix="1" applyFont="1" applyBorder="1" applyAlignment="1">
      <alignment horizontal="left" vertical="center" wrapText="1"/>
    </xf>
    <xf numFmtId="0" fontId="9" fillId="0" borderId="12" xfId="0" quotePrefix="1" applyFont="1" applyBorder="1" applyAlignment="1">
      <alignment horizontal="left" vertical="center" wrapText="1"/>
    </xf>
    <xf numFmtId="0" fontId="9" fillId="0" borderId="21" xfId="0" quotePrefix="1" applyFont="1" applyBorder="1" applyAlignment="1">
      <alignment horizontal="left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4" fillId="11" borderId="0" xfId="0" applyFont="1" applyFill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15" fillId="0" borderId="9" xfId="0" applyFont="1" applyBorder="1"/>
    <xf numFmtId="164" fontId="15" fillId="0" borderId="9" xfId="4" applyFont="1" applyBorder="1"/>
    <xf numFmtId="0" fontId="25" fillId="3" borderId="9" xfId="0" applyFont="1" applyFill="1" applyBorder="1"/>
    <xf numFmtId="164" fontId="25" fillId="3" borderId="9" xfId="4" applyFont="1" applyFill="1" applyBorder="1"/>
    <xf numFmtId="0" fontId="25" fillId="3" borderId="9" xfId="0" applyFont="1" applyFill="1" applyBorder="1" applyAlignment="1">
      <alignment horizontal="center"/>
    </xf>
    <xf numFmtId="164" fontId="25" fillId="3" borderId="9" xfId="4" applyFont="1" applyFill="1" applyBorder="1" applyAlignment="1">
      <alignment horizontal="center"/>
    </xf>
    <xf numFmtId="0" fontId="9" fillId="0" borderId="0" xfId="0" applyFont="1" applyFill="1"/>
    <xf numFmtId="164" fontId="8" fillId="12" borderId="9" xfId="4" applyFont="1" applyFill="1" applyBorder="1"/>
  </cellXfs>
  <cellStyles count="9">
    <cellStyle name="Milliers" xfId="4" builtinId="3"/>
    <cellStyle name="Milliers 3" xfId="2" xr:uid="{00000000-0005-0000-0000-000001000000}"/>
    <cellStyle name="Normal" xfId="0" builtinId="0"/>
    <cellStyle name="Normal 2" xfId="5" xr:uid="{00000000-0005-0000-0000-000003000000}"/>
    <cellStyle name="Normal 3" xfId="1" xr:uid="{00000000-0005-0000-0000-000004000000}"/>
    <cellStyle name="Normal 4" xfId="6" xr:uid="{00000000-0005-0000-0000-000005000000}"/>
    <cellStyle name="Normal 5" xfId="7" xr:uid="{00000000-0005-0000-0000-000006000000}"/>
    <cellStyle name="Normal 6" xfId="8" xr:uid="{00000000-0005-0000-0000-000007000000}"/>
    <cellStyle name="Pourcentag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70</xdr:row>
      <xdr:rowOff>0</xdr:rowOff>
    </xdr:from>
    <xdr:to>
      <xdr:col>7</xdr:col>
      <xdr:colOff>9525</xdr:colOff>
      <xdr:row>70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AA3E3D-27A9-431E-AB62-BD0F40F17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0225" y="15059025"/>
          <a:ext cx="847725" cy="190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447675</xdr:colOff>
      <xdr:row>7</xdr:row>
      <xdr:rowOff>114300</xdr:rowOff>
    </xdr:from>
    <xdr:to>
      <xdr:col>15</xdr:col>
      <xdr:colOff>390525</xdr:colOff>
      <xdr:row>24</xdr:row>
      <xdr:rowOff>190499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9B2A9F8-866A-52BE-D2AA-DF3BD64140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9744" t="17773" r="31370" b="34201"/>
        <a:stretch/>
      </xdr:blipFill>
      <xdr:spPr>
        <a:xfrm>
          <a:off x="9772650" y="1514475"/>
          <a:ext cx="5210175" cy="3619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062E7-F7BB-40C6-816D-548B8279C75C}">
  <dimension ref="A1:I98"/>
  <sheetViews>
    <sheetView tabSelected="1" topLeftCell="A31" zoomScale="115" zoomScaleNormal="115" workbookViewId="0">
      <selection activeCell="E15" sqref="E15"/>
    </sheetView>
  </sheetViews>
  <sheetFormatPr baseColWidth="10" defaultRowHeight="15.75" x14ac:dyDescent="0.25"/>
  <cols>
    <col min="1" max="1" width="11" style="118"/>
    <col min="2" max="2" width="25.125" style="118" customWidth="1"/>
    <col min="3" max="3" width="14.5" style="118" customWidth="1"/>
    <col min="4" max="6" width="12.625" style="154" bestFit="1" customWidth="1"/>
    <col min="7" max="16384" width="11" style="118"/>
  </cols>
  <sheetData>
    <row r="1" spans="1:8" ht="11.85" customHeight="1" x14ac:dyDescent="0.25">
      <c r="A1" s="118" t="s">
        <v>296</v>
      </c>
      <c r="H1" s="118" t="s">
        <v>297</v>
      </c>
    </row>
    <row r="3" spans="1:8" ht="22.9" customHeight="1" x14ac:dyDescent="0.25">
      <c r="B3" s="118" t="s">
        <v>298</v>
      </c>
    </row>
    <row r="5" spans="1:8" ht="17.649999999999999" customHeight="1" x14ac:dyDescent="0.25">
      <c r="A5" s="118" t="s">
        <v>299</v>
      </c>
    </row>
    <row r="6" spans="1:8" ht="16.899999999999999" customHeight="1" x14ac:dyDescent="0.25">
      <c r="A6" s="118" t="s">
        <v>300</v>
      </c>
    </row>
    <row r="7" spans="1:8" ht="17.649999999999999" customHeight="1" x14ac:dyDescent="0.25">
      <c r="A7" s="118" t="s">
        <v>301</v>
      </c>
    </row>
    <row r="8" spans="1:8" ht="11.85" customHeight="1" x14ac:dyDescent="0.25">
      <c r="A8" s="118" t="s">
        <v>302</v>
      </c>
      <c r="D8" s="154" t="s">
        <v>303</v>
      </c>
    </row>
    <row r="9" spans="1:8" ht="11.1" customHeight="1" x14ac:dyDescent="0.25">
      <c r="A9" s="118" t="s">
        <v>304</v>
      </c>
      <c r="D9" s="154" t="s">
        <v>305</v>
      </c>
    </row>
    <row r="10" spans="1:8" ht="11.85" customHeight="1" x14ac:dyDescent="0.25">
      <c r="A10" s="118" t="s">
        <v>306</v>
      </c>
      <c r="D10" s="154" t="s">
        <v>307</v>
      </c>
    </row>
    <row r="11" spans="1:8" ht="5.85" customHeight="1" x14ac:dyDescent="0.25"/>
    <row r="12" spans="1:8" ht="22.9" customHeight="1" x14ac:dyDescent="0.25">
      <c r="A12" s="255" t="s">
        <v>308</v>
      </c>
      <c r="B12" s="255" t="s">
        <v>309</v>
      </c>
      <c r="C12" s="255"/>
      <c r="D12" s="256" t="s">
        <v>244</v>
      </c>
      <c r="E12" s="256" t="s">
        <v>245</v>
      </c>
      <c r="F12" s="256" t="s">
        <v>71</v>
      </c>
    </row>
    <row r="13" spans="1:8" ht="14.25" customHeight="1" x14ac:dyDescent="0.25">
      <c r="A13" s="251" t="s">
        <v>310</v>
      </c>
      <c r="B13" s="251" t="s">
        <v>311</v>
      </c>
      <c r="C13" s="251"/>
      <c r="D13" s="252" t="s">
        <v>56</v>
      </c>
      <c r="E13" s="252">
        <v>40000</v>
      </c>
      <c r="F13" s="252">
        <v>-40000</v>
      </c>
    </row>
    <row r="14" spans="1:8" ht="14.25" customHeight="1" x14ac:dyDescent="0.25">
      <c r="A14" s="251" t="s">
        <v>312</v>
      </c>
      <c r="B14" s="251" t="s">
        <v>72</v>
      </c>
      <c r="C14" s="251"/>
      <c r="D14" s="252" t="s">
        <v>56</v>
      </c>
      <c r="E14" s="252">
        <v>10748.54</v>
      </c>
      <c r="F14" s="252">
        <v>-10748.54</v>
      </c>
    </row>
    <row r="15" spans="1:8" ht="14.25" customHeight="1" x14ac:dyDescent="0.25">
      <c r="A15" s="251" t="s">
        <v>313</v>
      </c>
      <c r="B15" s="251" t="s">
        <v>314</v>
      </c>
      <c r="C15" s="251"/>
      <c r="D15" s="252" t="s">
        <v>56</v>
      </c>
      <c r="E15" s="252">
        <v>27522.42</v>
      </c>
      <c r="F15" s="252">
        <v>-27522.42</v>
      </c>
    </row>
    <row r="16" spans="1:8" ht="14.25" customHeight="1" x14ac:dyDescent="0.25">
      <c r="A16" s="251" t="s">
        <v>315</v>
      </c>
      <c r="B16" s="251" t="s">
        <v>316</v>
      </c>
      <c r="C16" s="251"/>
      <c r="D16" s="252" t="s">
        <v>56</v>
      </c>
      <c r="E16" s="252">
        <v>35341.360000000001</v>
      </c>
      <c r="F16" s="252">
        <v>-35341.360000000001</v>
      </c>
    </row>
    <row r="17" spans="1:6" ht="14.25" customHeight="1" x14ac:dyDescent="0.25">
      <c r="A17" s="251"/>
      <c r="B17" s="251"/>
      <c r="C17" s="253" t="s">
        <v>317</v>
      </c>
      <c r="D17" s="254" t="s">
        <v>318</v>
      </c>
      <c r="E17" s="254" t="s">
        <v>319</v>
      </c>
      <c r="F17" s="254" t="s">
        <v>320</v>
      </c>
    </row>
    <row r="18" spans="1:6" ht="14.25" customHeight="1" x14ac:dyDescent="0.25">
      <c r="A18" s="251" t="s">
        <v>321</v>
      </c>
      <c r="B18" s="251" t="s">
        <v>322</v>
      </c>
      <c r="C18" s="251"/>
      <c r="D18" s="252">
        <v>30000</v>
      </c>
      <c r="E18" s="252" t="s">
        <v>56</v>
      </c>
      <c r="F18" s="252">
        <v>30000</v>
      </c>
    </row>
    <row r="19" spans="1:6" ht="14.25" customHeight="1" x14ac:dyDescent="0.25">
      <c r="A19" s="251" t="s">
        <v>139</v>
      </c>
      <c r="B19" s="251" t="s">
        <v>323</v>
      </c>
      <c r="C19" s="251"/>
      <c r="D19" s="252">
        <v>17850</v>
      </c>
      <c r="E19" s="252" t="s">
        <v>56</v>
      </c>
      <c r="F19" s="252">
        <v>17850</v>
      </c>
    </row>
    <row r="20" spans="1:6" ht="14.25" customHeight="1" x14ac:dyDescent="0.25">
      <c r="A20" s="251" t="s">
        <v>324</v>
      </c>
      <c r="B20" s="251" t="s">
        <v>325</v>
      </c>
      <c r="C20" s="251"/>
      <c r="D20" s="252">
        <v>32160</v>
      </c>
      <c r="E20" s="252" t="s">
        <v>56</v>
      </c>
      <c r="F20" s="252">
        <v>32160</v>
      </c>
    </row>
    <row r="21" spans="1:6" ht="14.25" customHeight="1" x14ac:dyDescent="0.25">
      <c r="A21" s="251" t="s">
        <v>73</v>
      </c>
      <c r="B21" s="251" t="s">
        <v>326</v>
      </c>
      <c r="C21" s="251"/>
      <c r="D21" s="252">
        <v>17800</v>
      </c>
      <c r="E21" s="252" t="s">
        <v>56</v>
      </c>
      <c r="F21" s="252">
        <v>17800</v>
      </c>
    </row>
    <row r="22" spans="1:6" ht="14.25" customHeight="1" x14ac:dyDescent="0.25">
      <c r="A22" s="251" t="s">
        <v>327</v>
      </c>
      <c r="B22" s="251" t="s">
        <v>328</v>
      </c>
      <c r="C22" s="251"/>
      <c r="D22" s="252">
        <v>7445</v>
      </c>
      <c r="E22" s="252" t="s">
        <v>56</v>
      </c>
      <c r="F22" s="252">
        <v>7445</v>
      </c>
    </row>
    <row r="23" spans="1:6" ht="14.25" customHeight="1" x14ac:dyDescent="0.25">
      <c r="A23" s="251" t="s">
        <v>74</v>
      </c>
      <c r="B23" s="251" t="s">
        <v>329</v>
      </c>
      <c r="C23" s="251"/>
      <c r="D23" s="252" t="s">
        <v>56</v>
      </c>
      <c r="E23" s="252">
        <v>3433.33</v>
      </c>
      <c r="F23" s="252">
        <v>-3433.33</v>
      </c>
    </row>
    <row r="24" spans="1:6" ht="14.25" customHeight="1" x14ac:dyDescent="0.25">
      <c r="A24" s="251" t="s">
        <v>330</v>
      </c>
      <c r="B24" s="251" t="s">
        <v>331</v>
      </c>
      <c r="C24" s="251"/>
      <c r="D24" s="252" t="s">
        <v>56</v>
      </c>
      <c r="E24" s="252">
        <v>3619</v>
      </c>
      <c r="F24" s="252">
        <v>-3619</v>
      </c>
    </row>
    <row r="25" spans="1:6" ht="14.25" customHeight="1" x14ac:dyDescent="0.25">
      <c r="A25" s="251" t="s">
        <v>75</v>
      </c>
      <c r="B25" s="251" t="s">
        <v>332</v>
      </c>
      <c r="C25" s="251"/>
      <c r="D25" s="252" t="s">
        <v>56</v>
      </c>
      <c r="E25" s="252">
        <v>4450</v>
      </c>
      <c r="F25" s="252">
        <v>-4450</v>
      </c>
    </row>
    <row r="26" spans="1:6" ht="14.25" customHeight="1" x14ac:dyDescent="0.25">
      <c r="A26" s="251" t="s">
        <v>333</v>
      </c>
      <c r="B26" s="251" t="s">
        <v>334</v>
      </c>
      <c r="C26" s="251"/>
      <c r="D26" s="252" t="s">
        <v>56</v>
      </c>
      <c r="E26" s="252">
        <v>1873</v>
      </c>
      <c r="F26" s="252">
        <v>-1873</v>
      </c>
    </row>
    <row r="27" spans="1:6" ht="14.25" customHeight="1" x14ac:dyDescent="0.25">
      <c r="A27" s="251"/>
      <c r="B27" s="251"/>
      <c r="C27" s="253" t="s">
        <v>335</v>
      </c>
      <c r="D27" s="254" t="s">
        <v>336</v>
      </c>
      <c r="E27" s="254" t="s">
        <v>337</v>
      </c>
      <c r="F27" s="254" t="s">
        <v>338</v>
      </c>
    </row>
    <row r="28" spans="1:6" ht="14.25" customHeight="1" x14ac:dyDescent="0.25">
      <c r="A28" s="251" t="s">
        <v>76</v>
      </c>
      <c r="B28" s="251" t="s">
        <v>339</v>
      </c>
      <c r="C28" s="251"/>
      <c r="D28" s="252">
        <v>26783.59</v>
      </c>
      <c r="E28" s="252" t="s">
        <v>56</v>
      </c>
      <c r="F28" s="252">
        <v>26783.59</v>
      </c>
    </row>
    <row r="29" spans="1:6" ht="14.25" customHeight="1" x14ac:dyDescent="0.25">
      <c r="A29" s="251" t="s">
        <v>77</v>
      </c>
      <c r="B29" s="251" t="s">
        <v>340</v>
      </c>
      <c r="C29" s="251"/>
      <c r="D29" s="252" t="s">
        <v>56</v>
      </c>
      <c r="E29" s="252">
        <v>424.5</v>
      </c>
      <c r="F29" s="252">
        <v>-424.5</v>
      </c>
    </row>
    <row r="30" spans="1:6" ht="14.25" customHeight="1" x14ac:dyDescent="0.25">
      <c r="A30" s="251"/>
      <c r="B30" s="251"/>
      <c r="C30" s="253" t="s">
        <v>341</v>
      </c>
      <c r="D30" s="254" t="s">
        <v>342</v>
      </c>
      <c r="E30" s="254" t="s">
        <v>343</v>
      </c>
      <c r="F30" s="254" t="s">
        <v>344</v>
      </c>
    </row>
    <row r="31" spans="1:6" ht="14.25" customHeight="1" x14ac:dyDescent="0.25">
      <c r="A31" s="251" t="s">
        <v>162</v>
      </c>
      <c r="B31" s="251" t="s">
        <v>345</v>
      </c>
      <c r="C31" s="251"/>
      <c r="D31" s="252" t="s">
        <v>56</v>
      </c>
      <c r="E31" s="252">
        <v>16708.63</v>
      </c>
      <c r="F31" s="252">
        <v>-16708.63</v>
      </c>
    </row>
    <row r="32" spans="1:6" ht="14.25" customHeight="1" x14ac:dyDescent="0.25">
      <c r="A32" s="251" t="s">
        <v>346</v>
      </c>
      <c r="B32" s="251" t="s">
        <v>347</v>
      </c>
      <c r="C32" s="251"/>
      <c r="D32" s="252" t="s">
        <v>56</v>
      </c>
      <c r="E32" s="252">
        <v>9611.9500000000007</v>
      </c>
      <c r="F32" s="252">
        <v>-9611.9500000000007</v>
      </c>
    </row>
    <row r="33" spans="1:6" ht="14.25" customHeight="1" x14ac:dyDescent="0.25">
      <c r="A33" s="251" t="s">
        <v>196</v>
      </c>
      <c r="B33" s="251" t="s">
        <v>41</v>
      </c>
      <c r="C33" s="251"/>
      <c r="D33" s="252">
        <v>1812</v>
      </c>
      <c r="E33" s="252" t="s">
        <v>56</v>
      </c>
      <c r="F33" s="252">
        <v>1812</v>
      </c>
    </row>
    <row r="34" spans="1:6" ht="14.25" customHeight="1" x14ac:dyDescent="0.25">
      <c r="A34" s="251" t="s">
        <v>199</v>
      </c>
      <c r="B34" s="251" t="s">
        <v>42</v>
      </c>
      <c r="C34" s="251"/>
      <c r="D34" s="252">
        <v>4260</v>
      </c>
      <c r="E34" s="252" t="s">
        <v>56</v>
      </c>
      <c r="F34" s="252">
        <v>4260</v>
      </c>
    </row>
    <row r="35" spans="1:6" ht="14.25" customHeight="1" x14ac:dyDescent="0.25">
      <c r="A35" s="251" t="s">
        <v>200</v>
      </c>
      <c r="B35" s="251" t="s">
        <v>46</v>
      </c>
      <c r="C35" s="251"/>
      <c r="D35" s="252">
        <v>2856</v>
      </c>
      <c r="E35" s="252" t="s">
        <v>56</v>
      </c>
      <c r="F35" s="252">
        <v>2856</v>
      </c>
    </row>
    <row r="36" spans="1:6" ht="14.25" customHeight="1" x14ac:dyDescent="0.25">
      <c r="A36" s="251" t="s">
        <v>203</v>
      </c>
      <c r="B36" s="251" t="s">
        <v>348</v>
      </c>
      <c r="C36" s="251"/>
      <c r="D36" s="252">
        <v>2136</v>
      </c>
      <c r="E36" s="252" t="s">
        <v>56</v>
      </c>
      <c r="F36" s="252">
        <v>2136</v>
      </c>
    </row>
    <row r="37" spans="1:6" ht="14.25" customHeight="1" x14ac:dyDescent="0.25">
      <c r="A37" s="251" t="s">
        <v>349</v>
      </c>
      <c r="B37" s="251" t="s">
        <v>350</v>
      </c>
      <c r="C37" s="251"/>
      <c r="D37" s="252">
        <v>2268</v>
      </c>
      <c r="E37" s="252" t="s">
        <v>56</v>
      </c>
      <c r="F37" s="252">
        <v>2268</v>
      </c>
    </row>
    <row r="38" spans="1:6" ht="14.25" customHeight="1" x14ac:dyDescent="0.25">
      <c r="A38" s="251" t="s">
        <v>351</v>
      </c>
      <c r="B38" s="251" t="s">
        <v>352</v>
      </c>
      <c r="C38" s="251"/>
      <c r="D38" s="252">
        <v>888</v>
      </c>
      <c r="E38" s="252" t="s">
        <v>56</v>
      </c>
      <c r="F38" s="252">
        <v>888</v>
      </c>
    </row>
    <row r="39" spans="1:6" ht="14.25" customHeight="1" x14ac:dyDescent="0.25">
      <c r="A39" s="251" t="s">
        <v>353</v>
      </c>
      <c r="B39" s="251" t="s">
        <v>354</v>
      </c>
      <c r="C39" s="251"/>
      <c r="D39" s="252">
        <v>960</v>
      </c>
      <c r="E39" s="252" t="s">
        <v>56</v>
      </c>
      <c r="F39" s="252">
        <v>960</v>
      </c>
    </row>
    <row r="40" spans="1:6" ht="14.25" customHeight="1" x14ac:dyDescent="0.25">
      <c r="A40" s="251" t="s">
        <v>171</v>
      </c>
      <c r="B40" s="251" t="s">
        <v>355</v>
      </c>
      <c r="C40" s="251"/>
      <c r="D40" s="252">
        <v>5260</v>
      </c>
      <c r="E40" s="252" t="s">
        <v>56</v>
      </c>
      <c r="F40" s="252">
        <v>5260</v>
      </c>
    </row>
    <row r="41" spans="1:6" ht="14.25" customHeight="1" x14ac:dyDescent="0.25">
      <c r="A41" s="251" t="s">
        <v>356</v>
      </c>
      <c r="B41" s="251" t="s">
        <v>357</v>
      </c>
      <c r="C41" s="251"/>
      <c r="D41" s="252">
        <v>1008</v>
      </c>
      <c r="E41" s="252" t="s">
        <v>56</v>
      </c>
      <c r="F41" s="252">
        <v>1008</v>
      </c>
    </row>
    <row r="42" spans="1:6" ht="14.25" customHeight="1" x14ac:dyDescent="0.25">
      <c r="A42" s="251" t="s">
        <v>358</v>
      </c>
      <c r="B42" s="251" t="s">
        <v>359</v>
      </c>
      <c r="C42" s="251"/>
      <c r="D42" s="252">
        <v>2544</v>
      </c>
      <c r="E42" s="252" t="s">
        <v>56</v>
      </c>
      <c r="F42" s="252">
        <v>2544</v>
      </c>
    </row>
    <row r="43" spans="1:6" ht="14.25" customHeight="1" x14ac:dyDescent="0.25">
      <c r="A43" s="251" t="s">
        <v>360</v>
      </c>
      <c r="B43" s="251" t="s">
        <v>361</v>
      </c>
      <c r="C43" s="251"/>
      <c r="D43" s="252">
        <v>696</v>
      </c>
      <c r="E43" s="252" t="s">
        <v>56</v>
      </c>
      <c r="F43" s="252">
        <v>696</v>
      </c>
    </row>
    <row r="44" spans="1:6" ht="14.25" customHeight="1" x14ac:dyDescent="0.25">
      <c r="A44" s="251" t="s">
        <v>362</v>
      </c>
      <c r="B44" s="251" t="s">
        <v>363</v>
      </c>
      <c r="C44" s="251"/>
      <c r="D44" s="252">
        <v>1752</v>
      </c>
      <c r="E44" s="252" t="s">
        <v>56</v>
      </c>
      <c r="F44" s="252">
        <v>1752</v>
      </c>
    </row>
    <row r="45" spans="1:6" ht="14.25" customHeight="1" x14ac:dyDescent="0.25">
      <c r="A45" s="251" t="s">
        <v>364</v>
      </c>
      <c r="B45" s="251" t="s">
        <v>365</v>
      </c>
      <c r="C45" s="251"/>
      <c r="D45" s="252">
        <v>1104</v>
      </c>
      <c r="E45" s="252" t="s">
        <v>56</v>
      </c>
      <c r="F45" s="252">
        <v>1104</v>
      </c>
    </row>
    <row r="46" spans="1:6" ht="14.25" customHeight="1" x14ac:dyDescent="0.25">
      <c r="A46" s="251" t="s">
        <v>366</v>
      </c>
      <c r="B46" s="251" t="s">
        <v>367</v>
      </c>
      <c r="C46" s="251"/>
      <c r="D46" s="252">
        <v>1020</v>
      </c>
      <c r="E46" s="252" t="s">
        <v>56</v>
      </c>
      <c r="F46" s="252">
        <v>1020</v>
      </c>
    </row>
    <row r="47" spans="1:6" ht="14.25" customHeight="1" x14ac:dyDescent="0.25">
      <c r="A47" s="251" t="s">
        <v>78</v>
      </c>
      <c r="B47" s="251" t="s">
        <v>368</v>
      </c>
      <c r="C47" s="251"/>
      <c r="D47" s="252">
        <v>2416</v>
      </c>
      <c r="E47" s="252" t="s">
        <v>56</v>
      </c>
      <c r="F47" s="252">
        <v>2416</v>
      </c>
    </row>
    <row r="48" spans="1:6" ht="14.25" customHeight="1" x14ac:dyDescent="0.25">
      <c r="A48" s="251" t="s">
        <v>369</v>
      </c>
      <c r="B48" s="251" t="s">
        <v>370</v>
      </c>
      <c r="C48" s="251"/>
      <c r="D48" s="252" t="s">
        <v>56</v>
      </c>
      <c r="E48" s="252">
        <v>4751.2</v>
      </c>
      <c r="F48" s="252">
        <v>-4751.2</v>
      </c>
    </row>
    <row r="49" spans="1:6" ht="14.25" customHeight="1" x14ac:dyDescent="0.25">
      <c r="A49" s="251" t="s">
        <v>100</v>
      </c>
      <c r="B49" s="251" t="s">
        <v>371</v>
      </c>
      <c r="C49" s="251"/>
      <c r="D49" s="252">
        <v>5112</v>
      </c>
      <c r="E49" s="252" t="s">
        <v>56</v>
      </c>
      <c r="F49" s="252">
        <v>5112</v>
      </c>
    </row>
    <row r="50" spans="1:6" ht="14.25" customHeight="1" x14ac:dyDescent="0.25">
      <c r="A50" s="251" t="s">
        <v>372</v>
      </c>
      <c r="B50" s="251" t="s">
        <v>373</v>
      </c>
      <c r="C50" s="251"/>
      <c r="D50" s="252">
        <v>213</v>
      </c>
      <c r="E50" s="252" t="s">
        <v>56</v>
      </c>
      <c r="F50" s="252">
        <v>213</v>
      </c>
    </row>
    <row r="51" spans="1:6" ht="14.25" customHeight="1" x14ac:dyDescent="0.25">
      <c r="A51" s="251" t="s">
        <v>374</v>
      </c>
      <c r="B51" s="251" t="s">
        <v>375</v>
      </c>
      <c r="C51" s="251"/>
      <c r="D51" s="252">
        <v>4143.9399999999996</v>
      </c>
      <c r="E51" s="252" t="s">
        <v>56</v>
      </c>
      <c r="F51" s="252">
        <v>4143.9399999999996</v>
      </c>
    </row>
    <row r="52" spans="1:6" ht="14.25" customHeight="1" x14ac:dyDescent="0.25">
      <c r="A52" s="251" t="s">
        <v>79</v>
      </c>
      <c r="B52" s="251" t="s">
        <v>376</v>
      </c>
      <c r="C52" s="251"/>
      <c r="D52" s="252" t="s">
        <v>56</v>
      </c>
      <c r="E52" s="252">
        <v>3038.04</v>
      </c>
      <c r="F52" s="252">
        <v>-3038.04</v>
      </c>
    </row>
    <row r="53" spans="1:6" ht="14.25" customHeight="1" x14ac:dyDescent="0.25">
      <c r="A53" s="251" t="s">
        <v>80</v>
      </c>
      <c r="B53" s="251" t="s">
        <v>265</v>
      </c>
      <c r="C53" s="251"/>
      <c r="D53" s="252">
        <v>9300</v>
      </c>
      <c r="E53" s="252" t="s">
        <v>56</v>
      </c>
      <c r="F53" s="252">
        <v>9300</v>
      </c>
    </row>
    <row r="54" spans="1:6" ht="14.25" customHeight="1" x14ac:dyDescent="0.25">
      <c r="A54" s="251" t="s">
        <v>81</v>
      </c>
      <c r="B54" s="251" t="s">
        <v>377</v>
      </c>
      <c r="C54" s="251"/>
      <c r="D54" s="252" t="s">
        <v>56</v>
      </c>
      <c r="E54" s="252">
        <v>2130</v>
      </c>
      <c r="F54" s="252">
        <v>-2130</v>
      </c>
    </row>
    <row r="55" spans="1:6" ht="14.25" customHeight="1" x14ac:dyDescent="0.25">
      <c r="A55" s="251"/>
      <c r="B55" s="251"/>
      <c r="C55" s="253" t="s">
        <v>378</v>
      </c>
      <c r="D55" s="254" t="s">
        <v>379</v>
      </c>
      <c r="E55" s="254" t="s">
        <v>380</v>
      </c>
      <c r="F55" s="254" t="s">
        <v>381</v>
      </c>
    </row>
    <row r="56" spans="1:6" ht="14.25" customHeight="1" x14ac:dyDescent="0.25">
      <c r="A56" s="251" t="s">
        <v>382</v>
      </c>
      <c r="B56" s="251" t="s">
        <v>383</v>
      </c>
      <c r="C56" s="251"/>
      <c r="D56" s="252">
        <v>15218.33</v>
      </c>
      <c r="E56" s="252" t="s">
        <v>56</v>
      </c>
      <c r="F56" s="252">
        <v>15218.33</v>
      </c>
    </row>
    <row r="57" spans="1:6" ht="14.25" customHeight="1" x14ac:dyDescent="0.25">
      <c r="A57" s="251" t="s">
        <v>384</v>
      </c>
      <c r="B57" s="251" t="s">
        <v>385</v>
      </c>
      <c r="C57" s="251"/>
      <c r="D57" s="252">
        <v>13923.68</v>
      </c>
      <c r="E57" s="252" t="s">
        <v>56</v>
      </c>
      <c r="F57" s="252">
        <v>13923.68</v>
      </c>
    </row>
    <row r="58" spans="1:6" ht="14.25" customHeight="1" x14ac:dyDescent="0.25">
      <c r="A58" s="251" t="s">
        <v>386</v>
      </c>
      <c r="B58" s="251" t="s">
        <v>387</v>
      </c>
      <c r="C58" s="251"/>
      <c r="D58" s="252">
        <v>576</v>
      </c>
      <c r="E58" s="252" t="s">
        <v>56</v>
      </c>
      <c r="F58" s="252">
        <v>576</v>
      </c>
    </row>
    <row r="59" spans="1:6" ht="14.25" customHeight="1" x14ac:dyDescent="0.25">
      <c r="A59" s="251"/>
      <c r="B59" s="251"/>
      <c r="C59" s="253" t="s">
        <v>388</v>
      </c>
      <c r="D59" s="254" t="s">
        <v>389</v>
      </c>
      <c r="E59" s="254" t="s">
        <v>318</v>
      </c>
      <c r="F59" s="254" t="s">
        <v>389</v>
      </c>
    </row>
    <row r="60" spans="1:6" ht="14.25" customHeight="1" x14ac:dyDescent="0.25">
      <c r="A60" s="251" t="s">
        <v>390</v>
      </c>
      <c r="B60" s="251" t="s">
        <v>391</v>
      </c>
      <c r="C60" s="251"/>
      <c r="D60" s="252">
        <v>6789.28</v>
      </c>
      <c r="E60" s="252" t="s">
        <v>56</v>
      </c>
      <c r="F60" s="252">
        <v>6789.28</v>
      </c>
    </row>
    <row r="61" spans="1:6" ht="14.25" customHeight="1" x14ac:dyDescent="0.25">
      <c r="A61" s="251" t="s">
        <v>392</v>
      </c>
      <c r="B61" s="251" t="s">
        <v>393</v>
      </c>
      <c r="C61" s="251"/>
      <c r="D61" s="252">
        <v>4649.29</v>
      </c>
      <c r="E61" s="252" t="s">
        <v>56</v>
      </c>
      <c r="F61" s="252">
        <v>4649.29</v>
      </c>
    </row>
    <row r="62" spans="1:6" ht="14.25" customHeight="1" x14ac:dyDescent="0.25">
      <c r="A62" s="251" t="s">
        <v>394</v>
      </c>
      <c r="B62" s="251" t="s">
        <v>395</v>
      </c>
      <c r="C62" s="251"/>
      <c r="D62" s="252">
        <v>2259.8000000000002</v>
      </c>
      <c r="E62" s="252" t="s">
        <v>56</v>
      </c>
      <c r="F62" s="252">
        <v>2259.8000000000002</v>
      </c>
    </row>
    <row r="63" spans="1:6" ht="14.25" customHeight="1" x14ac:dyDescent="0.25">
      <c r="A63" s="251" t="s">
        <v>396</v>
      </c>
      <c r="B63" s="251" t="s">
        <v>397</v>
      </c>
      <c r="C63" s="251"/>
      <c r="D63" s="252">
        <v>324538.78000000003</v>
      </c>
      <c r="E63" s="252" t="s">
        <v>56</v>
      </c>
      <c r="F63" s="252">
        <v>324538.78000000003</v>
      </c>
    </row>
    <row r="64" spans="1:6" ht="16.5" customHeight="1" x14ac:dyDescent="0.25">
      <c r="A64" s="251" t="s">
        <v>398</v>
      </c>
      <c r="B64" s="251" t="s">
        <v>399</v>
      </c>
      <c r="C64" s="251"/>
      <c r="D64" s="252">
        <v>9070</v>
      </c>
      <c r="E64" s="252" t="s">
        <v>56</v>
      </c>
      <c r="F64" s="252">
        <v>9070</v>
      </c>
    </row>
    <row r="65" spans="1:6" ht="14.25" customHeight="1" x14ac:dyDescent="0.25">
      <c r="A65" s="251" t="s">
        <v>400</v>
      </c>
      <c r="B65" s="251" t="s">
        <v>401</v>
      </c>
      <c r="C65" s="251"/>
      <c r="D65" s="252">
        <v>45600</v>
      </c>
      <c r="E65" s="252" t="s">
        <v>56</v>
      </c>
      <c r="F65" s="252">
        <v>45600</v>
      </c>
    </row>
    <row r="66" spans="1:6" ht="14.25" customHeight="1" x14ac:dyDescent="0.25">
      <c r="A66" s="251" t="s">
        <v>402</v>
      </c>
      <c r="B66" s="251" t="s">
        <v>403</v>
      </c>
      <c r="C66" s="251"/>
      <c r="D66" s="252">
        <v>3721</v>
      </c>
      <c r="E66" s="252" t="s">
        <v>56</v>
      </c>
      <c r="F66" s="252">
        <v>3721</v>
      </c>
    </row>
    <row r="67" spans="1:6" ht="14.25" customHeight="1" x14ac:dyDescent="0.25">
      <c r="A67" s="251" t="s">
        <v>404</v>
      </c>
      <c r="B67" s="251" t="s">
        <v>405</v>
      </c>
      <c r="C67" s="251"/>
      <c r="D67" s="252">
        <v>6000</v>
      </c>
      <c r="E67" s="252" t="s">
        <v>56</v>
      </c>
      <c r="F67" s="252">
        <v>6000</v>
      </c>
    </row>
    <row r="68" spans="1:6" ht="14.25" customHeight="1" x14ac:dyDescent="0.25">
      <c r="A68" s="251" t="s">
        <v>406</v>
      </c>
      <c r="B68" s="251" t="s">
        <v>407</v>
      </c>
      <c r="C68" s="251"/>
      <c r="D68" s="252">
        <v>9235.02</v>
      </c>
      <c r="E68" s="252" t="s">
        <v>56</v>
      </c>
      <c r="F68" s="252">
        <v>9235.02</v>
      </c>
    </row>
    <row r="69" spans="1:6" ht="14.25" customHeight="1" x14ac:dyDescent="0.25">
      <c r="A69" s="251" t="s">
        <v>408</v>
      </c>
      <c r="B69" s="251" t="s">
        <v>409</v>
      </c>
      <c r="C69" s="251"/>
      <c r="D69" s="252">
        <v>2313.8200000000002</v>
      </c>
      <c r="E69" s="252" t="s">
        <v>56</v>
      </c>
      <c r="F69" s="252">
        <v>2313.8200000000002</v>
      </c>
    </row>
    <row r="70" spans="1:6" ht="14.25" customHeight="1" x14ac:dyDescent="0.25">
      <c r="A70" s="251" t="s">
        <v>410</v>
      </c>
      <c r="B70" s="251" t="s">
        <v>411</v>
      </c>
      <c r="C70" s="251"/>
      <c r="D70" s="252">
        <v>1432.18</v>
      </c>
      <c r="E70" s="252" t="s">
        <v>56</v>
      </c>
      <c r="F70" s="252">
        <v>1432.18</v>
      </c>
    </row>
    <row r="71" spans="1:6" ht="14.25" customHeight="1" x14ac:dyDescent="0.25">
      <c r="A71" s="251" t="s">
        <v>412</v>
      </c>
      <c r="B71" s="251" t="s">
        <v>413</v>
      </c>
      <c r="C71" s="251"/>
      <c r="D71" s="252">
        <v>850.2</v>
      </c>
      <c r="E71" s="252" t="s">
        <v>56</v>
      </c>
      <c r="F71" s="252">
        <v>850.2</v>
      </c>
    </row>
    <row r="72" spans="1:6" ht="14.25" customHeight="1" x14ac:dyDescent="0.25">
      <c r="A72" s="251" t="s">
        <v>414</v>
      </c>
      <c r="B72" s="251" t="s">
        <v>415</v>
      </c>
      <c r="C72" s="251"/>
      <c r="D72" s="252">
        <v>2734</v>
      </c>
      <c r="E72" s="252" t="s">
        <v>56</v>
      </c>
      <c r="F72" s="252">
        <v>2734</v>
      </c>
    </row>
    <row r="73" spans="1:6" ht="14.25" customHeight="1" x14ac:dyDescent="0.25">
      <c r="A73" s="251" t="s">
        <v>416</v>
      </c>
      <c r="B73" s="251" t="s">
        <v>417</v>
      </c>
      <c r="C73" s="251"/>
      <c r="D73" s="252">
        <v>68712</v>
      </c>
      <c r="E73" s="252" t="s">
        <v>56</v>
      </c>
      <c r="F73" s="252">
        <v>68712</v>
      </c>
    </row>
    <row r="74" spans="1:6" ht="14.25" customHeight="1" x14ac:dyDescent="0.25">
      <c r="A74" s="251" t="s">
        <v>418</v>
      </c>
      <c r="B74" s="251" t="s">
        <v>419</v>
      </c>
      <c r="C74" s="251"/>
      <c r="D74" s="252">
        <v>7742.67</v>
      </c>
      <c r="E74" s="252" t="s">
        <v>56</v>
      </c>
      <c r="F74" s="252">
        <v>7742.67</v>
      </c>
    </row>
    <row r="75" spans="1:6" ht="14.25" customHeight="1" x14ac:dyDescent="0.25">
      <c r="A75" s="251" t="s">
        <v>420</v>
      </c>
      <c r="B75" s="251" t="s">
        <v>421</v>
      </c>
      <c r="C75" s="251"/>
      <c r="D75" s="252">
        <v>31854.15</v>
      </c>
      <c r="E75" s="252" t="s">
        <v>56</v>
      </c>
      <c r="F75" s="252">
        <v>31854.15</v>
      </c>
    </row>
    <row r="76" spans="1:6" ht="14.25" customHeight="1" x14ac:dyDescent="0.25">
      <c r="A76" s="251" t="s">
        <v>422</v>
      </c>
      <c r="B76" s="251" t="s">
        <v>423</v>
      </c>
      <c r="C76" s="251"/>
      <c r="D76" s="252">
        <v>12.57</v>
      </c>
      <c r="E76" s="252" t="s">
        <v>56</v>
      </c>
      <c r="F76" s="252">
        <v>12.57</v>
      </c>
    </row>
    <row r="77" spans="1:6" ht="14.25" customHeight="1" x14ac:dyDescent="0.25">
      <c r="A77" s="251" t="s">
        <v>424</v>
      </c>
      <c r="B77" s="251" t="s">
        <v>425</v>
      </c>
      <c r="C77" s="251"/>
      <c r="D77" s="252">
        <v>57.12</v>
      </c>
      <c r="E77" s="252" t="s">
        <v>56</v>
      </c>
      <c r="F77" s="252">
        <v>57.12</v>
      </c>
    </row>
    <row r="78" spans="1:6" ht="14.25" customHeight="1" x14ac:dyDescent="0.25">
      <c r="A78" s="251" t="s">
        <v>131</v>
      </c>
      <c r="B78" s="251" t="s">
        <v>426</v>
      </c>
      <c r="C78" s="251"/>
      <c r="D78" s="252">
        <v>1549.42</v>
      </c>
      <c r="E78" s="252" t="s">
        <v>56</v>
      </c>
      <c r="F78" s="252">
        <v>1549.42</v>
      </c>
    </row>
    <row r="79" spans="1:6" ht="14.25" customHeight="1" x14ac:dyDescent="0.25">
      <c r="A79" s="251" t="s">
        <v>427</v>
      </c>
      <c r="B79" s="251" t="s">
        <v>428</v>
      </c>
      <c r="C79" s="251"/>
      <c r="D79" s="252">
        <v>1435.16</v>
      </c>
      <c r="E79" s="252" t="s">
        <v>56</v>
      </c>
      <c r="F79" s="252">
        <v>1435.16</v>
      </c>
    </row>
    <row r="80" spans="1:6" ht="14.25" customHeight="1" x14ac:dyDescent="0.25">
      <c r="A80" s="251" t="s">
        <v>429</v>
      </c>
      <c r="B80" s="251" t="s">
        <v>430</v>
      </c>
      <c r="C80" s="251"/>
      <c r="D80" s="252">
        <v>405</v>
      </c>
      <c r="E80" s="252" t="s">
        <v>56</v>
      </c>
      <c r="F80" s="252">
        <v>405</v>
      </c>
    </row>
    <row r="81" spans="1:6" ht="14.25" customHeight="1" x14ac:dyDescent="0.25">
      <c r="A81" s="251"/>
      <c r="B81" s="251"/>
      <c r="C81" s="253" t="s">
        <v>431</v>
      </c>
      <c r="D81" s="254" t="s">
        <v>432</v>
      </c>
      <c r="E81" s="254" t="s">
        <v>318</v>
      </c>
      <c r="F81" s="254" t="s">
        <v>432</v>
      </c>
    </row>
    <row r="82" spans="1:6" ht="14.25" customHeight="1" x14ac:dyDescent="0.25">
      <c r="A82" s="251" t="s">
        <v>433</v>
      </c>
      <c r="B82" s="251" t="s">
        <v>434</v>
      </c>
      <c r="C82" s="251"/>
      <c r="D82" s="252" t="s">
        <v>56</v>
      </c>
      <c r="E82" s="252">
        <v>523366.65</v>
      </c>
      <c r="F82" s="252">
        <v>-523366.65</v>
      </c>
    </row>
    <row r="83" spans="1:6" ht="14.25" customHeight="1" x14ac:dyDescent="0.25">
      <c r="A83" s="251" t="s">
        <v>435</v>
      </c>
      <c r="B83" s="251" t="s">
        <v>436</v>
      </c>
      <c r="C83" s="251"/>
      <c r="D83" s="252" t="s">
        <v>56</v>
      </c>
      <c r="E83" s="252">
        <v>47616.95</v>
      </c>
      <c r="F83" s="252">
        <v>-47616.95</v>
      </c>
    </row>
    <row r="84" spans="1:6" ht="14.25" customHeight="1" x14ac:dyDescent="0.25">
      <c r="A84" s="251" t="s">
        <v>437</v>
      </c>
      <c r="B84" s="251" t="s">
        <v>438</v>
      </c>
      <c r="C84" s="251"/>
      <c r="D84" s="252" t="s">
        <v>56</v>
      </c>
      <c r="E84" s="252">
        <v>5213</v>
      </c>
      <c r="F84" s="252">
        <v>-5213</v>
      </c>
    </row>
    <row r="85" spans="1:6" ht="14.25" customHeight="1" x14ac:dyDescent="0.25">
      <c r="A85" s="251" t="s">
        <v>439</v>
      </c>
      <c r="B85" s="251" t="s">
        <v>440</v>
      </c>
      <c r="C85" s="251"/>
      <c r="D85" s="252" t="s">
        <v>56</v>
      </c>
      <c r="E85" s="252">
        <v>5.13</v>
      </c>
      <c r="F85" s="252">
        <v>-5.13</v>
      </c>
    </row>
    <row r="86" spans="1:6" ht="14.25" customHeight="1" x14ac:dyDescent="0.25">
      <c r="A86" s="251" t="s">
        <v>441</v>
      </c>
      <c r="B86" s="251" t="s">
        <v>442</v>
      </c>
      <c r="C86" s="251"/>
      <c r="D86" s="252" t="s">
        <v>56</v>
      </c>
      <c r="E86" s="252">
        <v>2613.3000000000002</v>
      </c>
      <c r="F86" s="252">
        <v>-2613.3000000000002</v>
      </c>
    </row>
    <row r="87" spans="1:6" ht="14.25" customHeight="1" x14ac:dyDescent="0.25">
      <c r="A87" s="251"/>
      <c r="B87" s="251"/>
      <c r="C87" s="253" t="s">
        <v>443</v>
      </c>
      <c r="D87" s="254" t="s">
        <v>318</v>
      </c>
      <c r="E87" s="254" t="s">
        <v>444</v>
      </c>
      <c r="F87" s="254" t="s">
        <v>445</v>
      </c>
    </row>
    <row r="88" spans="1:6" ht="14.25" customHeight="1" x14ac:dyDescent="0.25">
      <c r="A88" s="251"/>
      <c r="B88" s="251"/>
      <c r="C88" s="251"/>
      <c r="D88" s="252"/>
      <c r="E88" s="252"/>
      <c r="F88" s="252"/>
    </row>
    <row r="89" spans="1:6" ht="14.25" customHeight="1" x14ac:dyDescent="0.25">
      <c r="A89" s="251" t="s">
        <v>446</v>
      </c>
      <c r="B89" s="251"/>
      <c r="C89" s="251"/>
      <c r="D89" s="252" t="s">
        <v>447</v>
      </c>
      <c r="E89" s="252" t="s">
        <v>447</v>
      </c>
      <c r="F89" s="252" t="s">
        <v>318</v>
      </c>
    </row>
    <row r="90" spans="1:6" ht="14.25" customHeight="1" x14ac:dyDescent="0.25">
      <c r="A90" s="251"/>
      <c r="B90" s="251"/>
      <c r="C90" s="251"/>
      <c r="D90" s="252"/>
      <c r="E90" s="252"/>
      <c r="F90" s="252"/>
    </row>
    <row r="91" spans="1:6" ht="14.25" customHeight="1" x14ac:dyDescent="0.25">
      <c r="A91" s="251" t="s">
        <v>448</v>
      </c>
      <c r="B91" s="251"/>
      <c r="C91" s="251"/>
      <c r="D91" s="252">
        <v>211505.54</v>
      </c>
      <c r="E91" s="252">
        <v>163651.97</v>
      </c>
      <c r="F91" s="252">
        <v>47853.57</v>
      </c>
    </row>
    <row r="92" spans="1:6" ht="14.25" customHeight="1" x14ac:dyDescent="0.25">
      <c r="A92" s="251" t="s">
        <v>449</v>
      </c>
      <c r="B92" s="251"/>
      <c r="C92" s="251"/>
      <c r="D92" s="252">
        <v>530961.46</v>
      </c>
      <c r="E92" s="252">
        <v>578815.03</v>
      </c>
      <c r="F92" s="252">
        <v>-47853.57</v>
      </c>
    </row>
    <row r="93" spans="1:6" ht="73.5" customHeight="1" x14ac:dyDescent="0.25"/>
    <row r="98" spans="9:9" ht="11.85" customHeight="1" x14ac:dyDescent="0.25">
      <c r="I98" s="118" t="s">
        <v>450</v>
      </c>
    </row>
  </sheetData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3"/>
  <sheetViews>
    <sheetView zoomScale="55" zoomScaleNormal="55" workbookViewId="0">
      <selection activeCell="A53" sqref="A1:F53"/>
    </sheetView>
  </sheetViews>
  <sheetFormatPr baseColWidth="10" defaultColWidth="11" defaultRowHeight="15.75" x14ac:dyDescent="0.25"/>
  <cols>
    <col min="1" max="1" width="8.25" style="153" customWidth="1"/>
    <col min="2" max="2" width="10.875" style="153" customWidth="1"/>
    <col min="3" max="3" width="7" style="153" customWidth="1"/>
    <col min="4" max="4" width="36.5" style="118" customWidth="1"/>
    <col min="5" max="5" width="12.875" style="154" customWidth="1"/>
    <col min="6" max="6" width="15.25" style="154" customWidth="1"/>
    <col min="7" max="16384" width="11" style="118"/>
  </cols>
  <sheetData>
    <row r="1" spans="1:7" ht="20.25" x14ac:dyDescent="0.3">
      <c r="A1" s="217" t="s">
        <v>124</v>
      </c>
      <c r="B1" s="218"/>
      <c r="C1" s="218"/>
      <c r="D1" s="218"/>
      <c r="E1" s="218"/>
      <c r="F1" s="218"/>
    </row>
    <row r="2" spans="1:7" ht="16.5" customHeight="1" x14ac:dyDescent="0.25">
      <c r="A2" s="119" t="s">
        <v>125</v>
      </c>
      <c r="B2" s="119" t="s">
        <v>126</v>
      </c>
      <c r="C2" s="119" t="s">
        <v>127</v>
      </c>
      <c r="D2" s="120" t="s">
        <v>128</v>
      </c>
      <c r="E2" s="121" t="s">
        <v>129</v>
      </c>
      <c r="F2" s="121" t="s">
        <v>130</v>
      </c>
    </row>
    <row r="3" spans="1:7" ht="16.5" customHeight="1" x14ac:dyDescent="0.25">
      <c r="A3" s="122">
        <v>44926</v>
      </c>
      <c r="B3" s="123" t="s">
        <v>131</v>
      </c>
      <c r="C3" s="123" t="s">
        <v>132</v>
      </c>
      <c r="D3" s="124" t="s">
        <v>134</v>
      </c>
      <c r="E3" s="125">
        <v>60.37</v>
      </c>
      <c r="F3" s="125"/>
      <c r="G3" s="126"/>
    </row>
    <row r="4" spans="1:7" ht="16.5" customHeight="1" x14ac:dyDescent="0.25">
      <c r="A4" s="127"/>
      <c r="B4" s="128" t="s">
        <v>133</v>
      </c>
      <c r="C4" s="128" t="s">
        <v>132</v>
      </c>
      <c r="D4" s="129" t="s">
        <v>134</v>
      </c>
      <c r="E4" s="130"/>
      <c r="F4" s="130">
        <v>60.37</v>
      </c>
      <c r="G4" s="126"/>
    </row>
    <row r="5" spans="1:7" ht="16.5" customHeight="1" x14ac:dyDescent="0.25">
      <c r="A5" s="122">
        <v>44926</v>
      </c>
      <c r="B5" s="123" t="s">
        <v>135</v>
      </c>
      <c r="C5" s="123" t="s">
        <v>136</v>
      </c>
      <c r="D5" s="124" t="s">
        <v>137</v>
      </c>
      <c r="E5" s="125">
        <f>SUM(F6:F10)</f>
        <v>14675.793888888889</v>
      </c>
      <c r="F5" s="125"/>
      <c r="G5" s="126"/>
    </row>
    <row r="6" spans="1:7" ht="16.5" customHeight="1" x14ac:dyDescent="0.25">
      <c r="A6" s="131"/>
      <c r="B6" s="132" t="s">
        <v>57</v>
      </c>
      <c r="C6" s="132" t="s">
        <v>136</v>
      </c>
      <c r="D6" s="133" t="s">
        <v>137</v>
      </c>
      <c r="E6" s="134"/>
      <c r="F6" s="134">
        <f>4071.22-F14</f>
        <v>3964.4838888888889</v>
      </c>
      <c r="G6" s="126"/>
    </row>
    <row r="7" spans="1:7" ht="16.5" customHeight="1" x14ac:dyDescent="0.25">
      <c r="A7" s="131"/>
      <c r="B7" s="132" t="s">
        <v>58</v>
      </c>
      <c r="C7" s="132" t="s">
        <v>136</v>
      </c>
      <c r="D7" s="133" t="s">
        <v>137</v>
      </c>
      <c r="E7" s="134"/>
      <c r="F7" s="134">
        <v>4549</v>
      </c>
      <c r="G7" s="126"/>
    </row>
    <row r="8" spans="1:7" ht="16.5" customHeight="1" x14ac:dyDescent="0.25">
      <c r="A8" s="131"/>
      <c r="B8" s="132" t="s">
        <v>59</v>
      </c>
      <c r="C8" s="132" t="s">
        <v>136</v>
      </c>
      <c r="D8" s="133" t="s">
        <v>137</v>
      </c>
      <c r="E8" s="134"/>
      <c r="F8" s="134">
        <v>4289.3100000000004</v>
      </c>
      <c r="G8" s="126"/>
    </row>
    <row r="9" spans="1:7" ht="16.5" customHeight="1" x14ac:dyDescent="0.25">
      <c r="A9" s="131"/>
      <c r="B9" s="132" t="s">
        <v>60</v>
      </c>
      <c r="C9" s="132" t="s">
        <v>136</v>
      </c>
      <c r="D9" s="133" t="s">
        <v>137</v>
      </c>
      <c r="E9" s="134"/>
      <c r="F9" s="134">
        <v>913</v>
      </c>
      <c r="G9" s="126"/>
    </row>
    <row r="10" spans="1:7" ht="16.5" customHeight="1" x14ac:dyDescent="0.25">
      <c r="A10" s="127"/>
      <c r="B10" s="128" t="s">
        <v>60</v>
      </c>
      <c r="C10" s="128" t="s">
        <v>136</v>
      </c>
      <c r="D10" s="129" t="s">
        <v>137</v>
      </c>
      <c r="E10" s="130"/>
      <c r="F10" s="130">
        <v>960</v>
      </c>
      <c r="G10" s="126"/>
    </row>
    <row r="11" spans="1:7" x14ac:dyDescent="0.25">
      <c r="A11" s="131">
        <v>44926</v>
      </c>
      <c r="B11" s="132" t="s">
        <v>139</v>
      </c>
      <c r="C11" s="132" t="s">
        <v>138</v>
      </c>
      <c r="D11" s="133" t="s">
        <v>140</v>
      </c>
      <c r="E11" s="134">
        <v>2900</v>
      </c>
      <c r="F11" s="134"/>
      <c r="G11" s="126"/>
    </row>
    <row r="12" spans="1:7" ht="18" customHeight="1" x14ac:dyDescent="0.25">
      <c r="A12" s="127"/>
      <c r="B12" s="212" t="s">
        <v>61</v>
      </c>
      <c r="C12" s="128" t="s">
        <v>138</v>
      </c>
      <c r="D12" s="129" t="s">
        <v>141</v>
      </c>
      <c r="E12" s="130"/>
      <c r="F12" s="130">
        <v>2900</v>
      </c>
      <c r="G12" s="126"/>
    </row>
    <row r="13" spans="1:7" ht="18" customHeight="1" x14ac:dyDescent="0.25">
      <c r="A13" s="122">
        <v>44926</v>
      </c>
      <c r="B13" s="132" t="s">
        <v>135</v>
      </c>
      <c r="C13" s="135" t="s">
        <v>142</v>
      </c>
      <c r="D13" s="133" t="s">
        <v>143</v>
      </c>
      <c r="E13" s="125">
        <f>2900*0.25*0.147222222222222</f>
        <v>106.73611111111096</v>
      </c>
      <c r="F13" s="134"/>
      <c r="G13" s="126"/>
    </row>
    <row r="14" spans="1:7" ht="18" customHeight="1" x14ac:dyDescent="0.25">
      <c r="A14" s="127"/>
      <c r="B14" s="132" t="s">
        <v>74</v>
      </c>
      <c r="C14" s="136" t="s">
        <v>142</v>
      </c>
      <c r="D14" s="133" t="s">
        <v>278</v>
      </c>
      <c r="E14" s="137"/>
      <c r="F14" s="134">
        <f>+E13</f>
        <v>106.73611111111096</v>
      </c>
      <c r="G14" s="126"/>
    </row>
    <row r="15" spans="1:7" ht="18" customHeight="1" x14ac:dyDescent="0.25">
      <c r="A15" s="122">
        <v>44926</v>
      </c>
      <c r="B15" s="123" t="s">
        <v>144</v>
      </c>
      <c r="C15" s="132" t="s">
        <v>145</v>
      </c>
      <c r="D15" s="124" t="s">
        <v>279</v>
      </c>
      <c r="E15" s="138">
        <f>2900*31.25%*0.166666666666667-E13</f>
        <v>44.305555555556012</v>
      </c>
      <c r="F15" s="125"/>
      <c r="G15" s="126"/>
    </row>
    <row r="16" spans="1:7" ht="18" customHeight="1" x14ac:dyDescent="0.25">
      <c r="A16" s="127"/>
      <c r="B16" s="128" t="s">
        <v>97</v>
      </c>
      <c r="C16" s="128" t="s">
        <v>145</v>
      </c>
      <c r="D16" s="129"/>
      <c r="E16" s="139"/>
      <c r="F16" s="130">
        <f>+E15</f>
        <v>44.305555555556012</v>
      </c>
      <c r="G16" s="126"/>
    </row>
    <row r="17" spans="1:8" ht="18" customHeight="1" x14ac:dyDescent="0.25">
      <c r="A17" s="122"/>
      <c r="B17" s="132" t="s">
        <v>73</v>
      </c>
      <c r="C17" s="132"/>
      <c r="D17" s="133" t="s">
        <v>280</v>
      </c>
      <c r="E17" s="134">
        <v>19000</v>
      </c>
      <c r="F17" s="134"/>
      <c r="G17" s="126"/>
      <c r="H17" s="140"/>
    </row>
    <row r="18" spans="1:8" ht="15.75" customHeight="1" x14ac:dyDescent="0.25">
      <c r="A18" s="127"/>
      <c r="B18" s="212" t="s">
        <v>80</v>
      </c>
      <c r="C18" s="128"/>
      <c r="D18" s="129"/>
      <c r="E18" s="130"/>
      <c r="F18" s="130">
        <v>19000</v>
      </c>
      <c r="G18" s="126"/>
    </row>
    <row r="19" spans="1:8" ht="15.75" customHeight="1" x14ac:dyDescent="0.25">
      <c r="A19" s="122">
        <v>44926</v>
      </c>
      <c r="B19" s="132" t="s">
        <v>135</v>
      </c>
      <c r="C19" s="132" t="s">
        <v>147</v>
      </c>
      <c r="D19" s="133" t="s">
        <v>148</v>
      </c>
      <c r="E19" s="134">
        <f>56*0.25*52.7777777777778</f>
        <v>738.88888888888914</v>
      </c>
      <c r="F19" s="134"/>
      <c r="G19" s="126"/>
    </row>
    <row r="20" spans="1:8" ht="15.75" customHeight="1" x14ac:dyDescent="0.25">
      <c r="A20" s="127"/>
      <c r="B20" s="128" t="s">
        <v>75</v>
      </c>
      <c r="C20" s="128" t="s">
        <v>147</v>
      </c>
      <c r="D20" s="129" t="s">
        <v>146</v>
      </c>
      <c r="E20" s="130"/>
      <c r="F20" s="130">
        <f>+E19</f>
        <v>738.88888888888914</v>
      </c>
      <c r="G20" s="126"/>
    </row>
    <row r="21" spans="1:8" ht="15.75" customHeight="1" x14ac:dyDescent="0.25">
      <c r="A21" s="122">
        <v>44926</v>
      </c>
      <c r="B21" s="213" t="s">
        <v>80</v>
      </c>
      <c r="C21" s="123" t="s">
        <v>149</v>
      </c>
      <c r="D21" s="124" t="s">
        <v>150</v>
      </c>
      <c r="E21" s="125">
        <v>12600</v>
      </c>
      <c r="F21" s="125"/>
      <c r="G21" s="126"/>
    </row>
    <row r="22" spans="1:8" ht="15.75" customHeight="1" x14ac:dyDescent="0.25">
      <c r="A22" s="131"/>
      <c r="B22" s="132" t="s">
        <v>108</v>
      </c>
      <c r="C22" s="132" t="s">
        <v>149</v>
      </c>
      <c r="D22" s="133" t="s">
        <v>150</v>
      </c>
      <c r="E22" s="134"/>
      <c r="F22" s="134">
        <v>10500</v>
      </c>
      <c r="G22" s="126"/>
    </row>
    <row r="23" spans="1:8" ht="15.75" customHeight="1" x14ac:dyDescent="0.25">
      <c r="A23" s="127"/>
      <c r="B23" s="128" t="s">
        <v>79</v>
      </c>
      <c r="C23" s="128" t="s">
        <v>149</v>
      </c>
      <c r="D23" s="129" t="s">
        <v>150</v>
      </c>
      <c r="E23" s="130"/>
      <c r="F23" s="130">
        <v>2100</v>
      </c>
      <c r="G23" s="126"/>
    </row>
    <row r="24" spans="1:8" ht="15.75" customHeight="1" x14ac:dyDescent="0.25">
      <c r="A24" s="131"/>
      <c r="B24" s="132"/>
      <c r="C24" s="132"/>
      <c r="D24" s="133"/>
      <c r="E24" s="134"/>
      <c r="F24" s="134"/>
      <c r="G24" s="126"/>
    </row>
    <row r="25" spans="1:8" x14ac:dyDescent="0.25">
      <c r="A25" s="122">
        <v>44926</v>
      </c>
      <c r="B25" s="123" t="s">
        <v>73</v>
      </c>
      <c r="C25" s="123" t="s">
        <v>151</v>
      </c>
      <c r="D25" s="124" t="s">
        <v>152</v>
      </c>
      <c r="E25" s="125"/>
      <c r="F25" s="125">
        <v>17800</v>
      </c>
      <c r="G25" s="126"/>
    </row>
    <row r="26" spans="1:8" x14ac:dyDescent="0.25">
      <c r="A26" s="131"/>
      <c r="B26" s="132" t="s">
        <v>75</v>
      </c>
      <c r="C26" s="132" t="s">
        <v>151</v>
      </c>
      <c r="D26" s="133" t="s">
        <v>152</v>
      </c>
      <c r="E26" s="134">
        <v>8739.31</v>
      </c>
      <c r="F26" s="134"/>
      <c r="G26" s="126"/>
    </row>
    <row r="27" spans="1:8" x14ac:dyDescent="0.25">
      <c r="A27" s="127"/>
      <c r="B27" s="128" t="s">
        <v>105</v>
      </c>
      <c r="C27" s="128" t="s">
        <v>151</v>
      </c>
      <c r="D27" s="129" t="s">
        <v>152</v>
      </c>
      <c r="E27" s="130">
        <v>9060.69</v>
      </c>
      <c r="F27" s="130"/>
      <c r="G27" s="126"/>
    </row>
    <row r="28" spans="1:8" x14ac:dyDescent="0.25">
      <c r="A28" s="119"/>
      <c r="B28" s="119" t="s">
        <v>126</v>
      </c>
      <c r="C28" s="119" t="s">
        <v>127</v>
      </c>
      <c r="D28" s="120" t="s">
        <v>128</v>
      </c>
      <c r="E28" s="121" t="s">
        <v>129</v>
      </c>
      <c r="F28" s="121" t="s">
        <v>130</v>
      </c>
      <c r="G28" s="126"/>
    </row>
    <row r="29" spans="1:8" x14ac:dyDescent="0.25">
      <c r="A29" s="122">
        <v>44926</v>
      </c>
      <c r="B29" s="123" t="s">
        <v>69</v>
      </c>
      <c r="C29" s="123" t="s">
        <v>153</v>
      </c>
      <c r="D29" s="124" t="s">
        <v>154</v>
      </c>
      <c r="E29" s="125">
        <v>26783.59</v>
      </c>
      <c r="F29" s="125"/>
      <c r="G29" s="126"/>
    </row>
    <row r="30" spans="1:8" x14ac:dyDescent="0.25">
      <c r="A30" s="127"/>
      <c r="B30" s="128" t="s">
        <v>76</v>
      </c>
      <c r="C30" s="132" t="s">
        <v>153</v>
      </c>
      <c r="D30" s="129" t="s">
        <v>154</v>
      </c>
      <c r="E30" s="130"/>
      <c r="F30" s="130">
        <v>26783.59</v>
      </c>
      <c r="G30" s="126"/>
    </row>
    <row r="31" spans="1:8" x14ac:dyDescent="0.25">
      <c r="A31" s="122">
        <v>44926</v>
      </c>
      <c r="B31" s="123" t="s">
        <v>109</v>
      </c>
      <c r="C31" s="123" t="s">
        <v>155</v>
      </c>
      <c r="D31" s="124" t="s">
        <v>156</v>
      </c>
      <c r="E31" s="125"/>
      <c r="F31" s="125">
        <v>424.5</v>
      </c>
      <c r="G31" s="126"/>
    </row>
    <row r="32" spans="1:8" x14ac:dyDescent="0.25">
      <c r="A32" s="127"/>
      <c r="B32" s="128" t="s">
        <v>77</v>
      </c>
      <c r="C32" s="128" t="s">
        <v>155</v>
      </c>
      <c r="D32" s="129" t="s">
        <v>156</v>
      </c>
      <c r="E32" s="130">
        <v>424.5</v>
      </c>
      <c r="F32" s="130"/>
      <c r="G32" s="126"/>
    </row>
    <row r="33" spans="1:7" x14ac:dyDescent="0.25">
      <c r="A33" s="122">
        <v>44926</v>
      </c>
      <c r="B33" s="123" t="s">
        <v>76</v>
      </c>
      <c r="C33" s="123" t="s">
        <v>157</v>
      </c>
      <c r="D33" s="124" t="s">
        <v>158</v>
      </c>
      <c r="E33" s="125">
        <v>38478.160000000003</v>
      </c>
      <c r="F33" s="125"/>
      <c r="G33" s="126"/>
    </row>
    <row r="34" spans="1:7" x14ac:dyDescent="0.25">
      <c r="A34" s="131"/>
      <c r="B34" s="132" t="s">
        <v>69</v>
      </c>
      <c r="C34" s="128" t="s">
        <v>157</v>
      </c>
      <c r="D34" s="133" t="s">
        <v>159</v>
      </c>
      <c r="E34" s="134"/>
      <c r="F34" s="134">
        <v>38478.160000000003</v>
      </c>
      <c r="G34" s="126"/>
    </row>
    <row r="35" spans="1:7" x14ac:dyDescent="0.25">
      <c r="A35" s="122">
        <v>44926</v>
      </c>
      <c r="B35" s="123" t="s">
        <v>70</v>
      </c>
      <c r="C35" s="123" t="s">
        <v>160</v>
      </c>
      <c r="D35" s="124" t="s">
        <v>161</v>
      </c>
      <c r="E35" s="125">
        <v>1247</v>
      </c>
      <c r="F35" s="125"/>
      <c r="G35" s="126"/>
    </row>
    <row r="36" spans="1:7" x14ac:dyDescent="0.25">
      <c r="A36" s="127"/>
      <c r="B36" s="128" t="s">
        <v>77</v>
      </c>
      <c r="C36" s="128" t="s">
        <v>160</v>
      </c>
      <c r="D36" s="129" t="s">
        <v>161</v>
      </c>
      <c r="E36" s="130"/>
      <c r="F36" s="130">
        <v>1247</v>
      </c>
      <c r="G36" s="126"/>
    </row>
    <row r="37" spans="1:7" ht="16.5" customHeight="1" x14ac:dyDescent="0.25">
      <c r="A37" s="122">
        <v>44926</v>
      </c>
      <c r="B37" s="123" t="s">
        <v>162</v>
      </c>
      <c r="C37" s="123" t="s">
        <v>163</v>
      </c>
      <c r="D37" s="124" t="s">
        <v>164</v>
      </c>
      <c r="E37" s="125">
        <v>493.13</v>
      </c>
      <c r="F37" s="125"/>
      <c r="G37" s="126"/>
    </row>
    <row r="38" spans="1:7" x14ac:dyDescent="0.25">
      <c r="A38" s="127"/>
      <c r="B38" s="128" t="s">
        <v>290</v>
      </c>
      <c r="C38" s="128" t="s">
        <v>163</v>
      </c>
      <c r="D38" s="129" t="s">
        <v>164</v>
      </c>
      <c r="E38" s="130"/>
      <c r="F38" s="130">
        <v>493.13</v>
      </c>
      <c r="G38" s="126"/>
    </row>
    <row r="39" spans="1:7" x14ac:dyDescent="0.25">
      <c r="A39" s="122">
        <v>44926</v>
      </c>
      <c r="B39" s="123" t="s">
        <v>162</v>
      </c>
      <c r="C39" s="123" t="s">
        <v>165</v>
      </c>
      <c r="D39" s="124" t="s">
        <v>166</v>
      </c>
      <c r="E39" s="125">
        <v>334.32</v>
      </c>
      <c r="F39" s="125"/>
      <c r="G39" s="126"/>
    </row>
    <row r="40" spans="1:7" x14ac:dyDescent="0.25">
      <c r="A40" s="127"/>
      <c r="B40" s="128" t="s">
        <v>167</v>
      </c>
      <c r="C40" s="128" t="s">
        <v>165</v>
      </c>
      <c r="D40" s="129" t="s">
        <v>166</v>
      </c>
      <c r="E40" s="130"/>
      <c r="F40" s="130">
        <v>334.32</v>
      </c>
      <c r="G40" s="126"/>
    </row>
    <row r="41" spans="1:7" x14ac:dyDescent="0.25">
      <c r="A41" s="122">
        <v>44926</v>
      </c>
      <c r="B41" s="123" t="s">
        <v>99</v>
      </c>
      <c r="C41" s="123" t="s">
        <v>168</v>
      </c>
      <c r="D41" s="124" t="s">
        <v>169</v>
      </c>
      <c r="E41" s="125">
        <v>3566.69</v>
      </c>
      <c r="F41" s="125"/>
      <c r="G41" s="126"/>
    </row>
    <row r="42" spans="1:7" x14ac:dyDescent="0.25">
      <c r="A42" s="131"/>
      <c r="B42" s="132" t="s">
        <v>170</v>
      </c>
      <c r="C42" s="132" t="s">
        <v>168</v>
      </c>
      <c r="D42" s="133" t="s">
        <v>169</v>
      </c>
      <c r="E42" s="134"/>
      <c r="F42" s="134">
        <v>594.45000000000005</v>
      </c>
      <c r="G42" s="126"/>
    </row>
    <row r="43" spans="1:7" x14ac:dyDescent="0.25">
      <c r="A43" s="131"/>
      <c r="B43" s="132" t="s">
        <v>102</v>
      </c>
      <c r="C43" s="132" t="s">
        <v>168</v>
      </c>
      <c r="D43" s="133" t="s">
        <v>169</v>
      </c>
      <c r="E43" s="134"/>
      <c r="F43" s="134">
        <v>2972.24</v>
      </c>
      <c r="G43" s="126"/>
    </row>
    <row r="44" spans="1:7" x14ac:dyDescent="0.25">
      <c r="A44" s="122">
        <v>44926</v>
      </c>
      <c r="B44" s="123" t="s">
        <v>171</v>
      </c>
      <c r="C44" s="123" t="s">
        <v>172</v>
      </c>
      <c r="D44" s="124" t="s">
        <v>173</v>
      </c>
      <c r="E44" s="125"/>
      <c r="F44" s="125">
        <v>24.5</v>
      </c>
      <c r="G44" s="126"/>
    </row>
    <row r="45" spans="1:7" x14ac:dyDescent="0.25">
      <c r="A45" s="127"/>
      <c r="B45" s="128" t="s">
        <v>174</v>
      </c>
      <c r="C45" s="128" t="s">
        <v>172</v>
      </c>
      <c r="D45" s="129" t="s">
        <v>173</v>
      </c>
      <c r="E45" s="130">
        <v>24.5</v>
      </c>
      <c r="F45" s="130"/>
      <c r="G45" s="126"/>
    </row>
    <row r="46" spans="1:7" x14ac:dyDescent="0.25">
      <c r="A46" s="122">
        <v>44926</v>
      </c>
      <c r="B46" s="123" t="s">
        <v>106</v>
      </c>
      <c r="C46" s="123" t="s">
        <v>175</v>
      </c>
      <c r="D46" s="124" t="s">
        <v>176</v>
      </c>
      <c r="E46" s="125">
        <v>24.5</v>
      </c>
      <c r="F46" s="125"/>
      <c r="G46" s="126"/>
    </row>
    <row r="47" spans="1:7" x14ac:dyDescent="0.25">
      <c r="A47" s="127"/>
      <c r="B47" s="128" t="s">
        <v>98</v>
      </c>
      <c r="C47" s="128" t="s">
        <v>175</v>
      </c>
      <c r="D47" s="129" t="s">
        <v>176</v>
      </c>
      <c r="E47" s="130"/>
      <c r="F47" s="130">
        <v>24.5</v>
      </c>
      <c r="G47" s="126"/>
    </row>
    <row r="48" spans="1:7" x14ac:dyDescent="0.25">
      <c r="A48" s="122">
        <v>44926</v>
      </c>
      <c r="B48" s="123" t="s">
        <v>103</v>
      </c>
      <c r="C48" s="123" t="s">
        <v>177</v>
      </c>
      <c r="D48" s="124" t="s">
        <v>178</v>
      </c>
      <c r="E48" s="125">
        <v>3300</v>
      </c>
      <c r="F48" s="125"/>
      <c r="G48" s="126"/>
    </row>
    <row r="49" spans="1:7" x14ac:dyDescent="0.25">
      <c r="A49" s="127"/>
      <c r="B49" s="128" t="s">
        <v>179</v>
      </c>
      <c r="C49" s="128" t="s">
        <v>177</v>
      </c>
      <c r="D49" s="129" t="s">
        <v>178</v>
      </c>
      <c r="E49" s="130"/>
      <c r="F49" s="130">
        <v>3300</v>
      </c>
      <c r="G49" s="126"/>
    </row>
    <row r="50" spans="1:7" x14ac:dyDescent="0.25">
      <c r="A50" s="122">
        <v>44926</v>
      </c>
      <c r="B50" s="123" t="s">
        <v>180</v>
      </c>
      <c r="C50" s="123" t="s">
        <v>181</v>
      </c>
      <c r="D50" s="124" t="s">
        <v>182</v>
      </c>
      <c r="E50" s="125">
        <f>+E48*41%</f>
        <v>1353</v>
      </c>
      <c r="F50" s="125"/>
      <c r="G50" s="126"/>
    </row>
    <row r="51" spans="1:7" ht="14.45" customHeight="1" x14ac:dyDescent="0.25">
      <c r="A51" s="127"/>
      <c r="B51" s="128" t="s">
        <v>183</v>
      </c>
      <c r="C51" s="128" t="s">
        <v>181</v>
      </c>
      <c r="D51" s="129" t="s">
        <v>184</v>
      </c>
      <c r="E51" s="130"/>
      <c r="F51" s="130">
        <f>+E50</f>
        <v>1353</v>
      </c>
      <c r="G51" s="126"/>
    </row>
    <row r="52" spans="1:7" x14ac:dyDescent="0.25">
      <c r="A52" s="122">
        <v>44926</v>
      </c>
      <c r="B52" s="123" t="s">
        <v>185</v>
      </c>
      <c r="C52" s="123" t="s">
        <v>186</v>
      </c>
      <c r="D52" s="124" t="s">
        <v>187</v>
      </c>
      <c r="E52" s="125">
        <v>261.52999999999997</v>
      </c>
      <c r="F52" s="125"/>
      <c r="G52" s="126"/>
    </row>
    <row r="53" spans="1:7" x14ac:dyDescent="0.25">
      <c r="A53" s="127"/>
      <c r="B53" s="128" t="s">
        <v>101</v>
      </c>
      <c r="C53" s="128" t="s">
        <v>186</v>
      </c>
      <c r="D53" s="129" t="s">
        <v>187</v>
      </c>
      <c r="E53" s="130"/>
      <c r="F53" s="130">
        <v>261.52999999999997</v>
      </c>
      <c r="G53" s="126"/>
    </row>
    <row r="54" spans="1:7" x14ac:dyDescent="0.25">
      <c r="A54" s="122">
        <v>44926</v>
      </c>
      <c r="B54" s="123" t="s">
        <v>104</v>
      </c>
      <c r="C54" s="123" t="s">
        <v>188</v>
      </c>
      <c r="D54" s="124" t="s">
        <v>189</v>
      </c>
      <c r="E54" s="125">
        <v>580</v>
      </c>
      <c r="F54" s="125"/>
      <c r="G54" s="126"/>
    </row>
    <row r="55" spans="1:7" x14ac:dyDescent="0.25">
      <c r="A55" s="131"/>
      <c r="B55" s="132" t="s">
        <v>79</v>
      </c>
      <c r="C55" s="132" t="s">
        <v>188</v>
      </c>
      <c r="D55" s="133" t="s">
        <v>189</v>
      </c>
      <c r="E55" s="134">
        <v>116</v>
      </c>
      <c r="F55" s="134"/>
      <c r="G55" s="126"/>
    </row>
    <row r="56" spans="1:7" x14ac:dyDescent="0.25">
      <c r="A56" s="131"/>
      <c r="B56" s="132" t="s">
        <v>78</v>
      </c>
      <c r="C56" s="132" t="s">
        <v>188</v>
      </c>
      <c r="D56" s="133" t="s">
        <v>189</v>
      </c>
      <c r="E56" s="134"/>
      <c r="F56" s="134">
        <v>696</v>
      </c>
      <c r="G56" s="126"/>
    </row>
    <row r="57" spans="1:7" x14ac:dyDescent="0.25">
      <c r="A57" s="122">
        <v>44926</v>
      </c>
      <c r="B57" s="123" t="s">
        <v>190</v>
      </c>
      <c r="C57" s="123" t="s">
        <v>191</v>
      </c>
      <c r="D57" s="124" t="s">
        <v>189</v>
      </c>
      <c r="E57" s="125"/>
      <c r="F57" s="125">
        <v>580</v>
      </c>
      <c r="G57" s="126"/>
    </row>
    <row r="58" spans="1:7" x14ac:dyDescent="0.25">
      <c r="A58" s="127"/>
      <c r="B58" s="128" t="s">
        <v>81</v>
      </c>
      <c r="C58" s="128" t="s">
        <v>191</v>
      </c>
      <c r="D58" s="129" t="s">
        <v>189</v>
      </c>
      <c r="E58" s="130">
        <v>580</v>
      </c>
      <c r="F58" s="130"/>
      <c r="G58" s="126"/>
    </row>
    <row r="59" spans="1:7" x14ac:dyDescent="0.25">
      <c r="A59" s="122">
        <v>44926</v>
      </c>
      <c r="B59" s="123" t="s">
        <v>190</v>
      </c>
      <c r="C59" s="123" t="s">
        <v>192</v>
      </c>
      <c r="D59" s="124" t="s">
        <v>193</v>
      </c>
      <c r="E59" s="125"/>
      <c r="F59" s="125">
        <v>833.33</v>
      </c>
      <c r="G59" s="126"/>
    </row>
    <row r="60" spans="1:7" x14ac:dyDescent="0.25">
      <c r="A60" s="127"/>
      <c r="B60" s="128" t="s">
        <v>81</v>
      </c>
      <c r="C60" s="128" t="s">
        <v>192</v>
      </c>
      <c r="D60" s="129" t="s">
        <v>193</v>
      </c>
      <c r="E60" s="130">
        <v>833.33</v>
      </c>
      <c r="F60" s="130"/>
      <c r="G60" s="126"/>
    </row>
    <row r="61" spans="1:7" x14ac:dyDescent="0.25">
      <c r="A61" s="122">
        <v>44926</v>
      </c>
      <c r="B61" s="123" t="s">
        <v>78</v>
      </c>
      <c r="C61" s="123" t="s">
        <v>194</v>
      </c>
      <c r="D61" s="124" t="s">
        <v>195</v>
      </c>
      <c r="E61" s="125">
        <v>1812</v>
      </c>
      <c r="F61" s="125"/>
      <c r="G61" s="126"/>
    </row>
    <row r="62" spans="1:7" x14ac:dyDescent="0.25">
      <c r="A62" s="127"/>
      <c r="B62" s="128" t="s">
        <v>196</v>
      </c>
      <c r="C62" s="128" t="s">
        <v>194</v>
      </c>
      <c r="D62" s="129" t="s">
        <v>197</v>
      </c>
      <c r="E62" s="130"/>
      <c r="F62" s="130">
        <v>1812</v>
      </c>
      <c r="G62" s="126"/>
    </row>
    <row r="63" spans="1:7" x14ac:dyDescent="0.25">
      <c r="A63" s="122">
        <v>44926</v>
      </c>
      <c r="B63" s="123" t="s">
        <v>78</v>
      </c>
      <c r="C63" s="123" t="s">
        <v>198</v>
      </c>
      <c r="D63" s="124" t="s">
        <v>42</v>
      </c>
      <c r="E63" s="125">
        <v>4260</v>
      </c>
      <c r="F63" s="125"/>
      <c r="G63" s="126"/>
    </row>
    <row r="64" spans="1:7" x14ac:dyDescent="0.25">
      <c r="A64" s="131"/>
      <c r="B64" s="132" t="s">
        <v>199</v>
      </c>
      <c r="C64" s="132" t="s">
        <v>198</v>
      </c>
      <c r="D64" s="133" t="s">
        <v>42</v>
      </c>
      <c r="E64" s="134"/>
      <c r="F64" s="134">
        <v>4260</v>
      </c>
      <c r="G64" s="126"/>
    </row>
    <row r="65" spans="1:7" x14ac:dyDescent="0.25">
      <c r="A65" s="122">
        <v>44926</v>
      </c>
      <c r="B65" s="123" t="s">
        <v>200</v>
      </c>
      <c r="C65" s="123" t="s">
        <v>201</v>
      </c>
      <c r="D65" s="124" t="s">
        <v>202</v>
      </c>
      <c r="E65" s="125"/>
      <c r="F65" s="125">
        <v>2856</v>
      </c>
      <c r="G65" s="126"/>
    </row>
    <row r="66" spans="1:7" x14ac:dyDescent="0.25">
      <c r="A66" s="127"/>
      <c r="B66" s="128" t="s">
        <v>78</v>
      </c>
      <c r="C66" s="128" t="s">
        <v>201</v>
      </c>
      <c r="D66" s="129" t="s">
        <v>202</v>
      </c>
      <c r="E66" s="130">
        <v>2856</v>
      </c>
      <c r="F66" s="130"/>
      <c r="G66" s="126"/>
    </row>
    <row r="67" spans="1:7" x14ac:dyDescent="0.25">
      <c r="A67" s="122">
        <v>44926</v>
      </c>
      <c r="B67" s="123" t="s">
        <v>203</v>
      </c>
      <c r="C67" s="123" t="s">
        <v>204</v>
      </c>
      <c r="D67" s="124" t="s">
        <v>205</v>
      </c>
      <c r="E67" s="125"/>
      <c r="F67" s="125">
        <v>2136</v>
      </c>
      <c r="G67" s="126"/>
    </row>
    <row r="68" spans="1:7" x14ac:dyDescent="0.25">
      <c r="A68" s="127"/>
      <c r="B68" s="128" t="s">
        <v>78</v>
      </c>
      <c r="C68" s="128" t="s">
        <v>204</v>
      </c>
      <c r="D68" s="129" t="s">
        <v>205</v>
      </c>
      <c r="E68" s="130">
        <v>2136</v>
      </c>
      <c r="F68" s="130"/>
      <c r="G68" s="126"/>
    </row>
    <row r="69" spans="1:7" x14ac:dyDescent="0.25">
      <c r="A69" s="122">
        <v>44926</v>
      </c>
      <c r="B69" s="123" t="s">
        <v>206</v>
      </c>
      <c r="C69" s="123" t="s">
        <v>207</v>
      </c>
      <c r="D69" s="124" t="s">
        <v>208</v>
      </c>
      <c r="E69" s="125">
        <v>4998</v>
      </c>
      <c r="F69" s="125"/>
      <c r="G69" s="126"/>
    </row>
    <row r="70" spans="1:7" x14ac:dyDescent="0.25">
      <c r="A70" s="127"/>
      <c r="B70" s="128" t="s">
        <v>81</v>
      </c>
      <c r="C70" s="128" t="s">
        <v>207</v>
      </c>
      <c r="D70" s="129" t="s">
        <v>208</v>
      </c>
      <c r="E70" s="130"/>
      <c r="F70" s="130">
        <v>4998</v>
      </c>
      <c r="G70" s="126"/>
    </row>
    <row r="71" spans="1:7" x14ac:dyDescent="0.25">
      <c r="A71" s="122">
        <v>44926</v>
      </c>
      <c r="B71" s="123" t="s">
        <v>107</v>
      </c>
      <c r="C71" s="123" t="s">
        <v>209</v>
      </c>
      <c r="D71" s="124" t="s">
        <v>210</v>
      </c>
      <c r="E71" s="125">
        <v>6654</v>
      </c>
      <c r="F71" s="125"/>
      <c r="G71" s="126"/>
    </row>
    <row r="72" spans="1:7" x14ac:dyDescent="0.25">
      <c r="A72" s="127"/>
      <c r="B72" s="128" t="s">
        <v>100</v>
      </c>
      <c r="C72" s="128" t="s">
        <v>209</v>
      </c>
      <c r="D72" s="129" t="s">
        <v>210</v>
      </c>
      <c r="E72" s="130"/>
      <c r="F72" s="130">
        <v>6654</v>
      </c>
      <c r="G72" s="126"/>
    </row>
    <row r="73" spans="1:7" x14ac:dyDescent="0.25">
      <c r="A73" s="141"/>
      <c r="B73" s="141"/>
      <c r="C73" s="141"/>
      <c r="D73" s="142"/>
      <c r="E73" s="143">
        <f>SUM(E3:E72)</f>
        <v>169042.34444444446</v>
      </c>
      <c r="F73" s="143">
        <f>SUM(F3:F72)</f>
        <v>169042.34444444446</v>
      </c>
    </row>
    <row r="76" spans="1:7" x14ac:dyDescent="0.25">
      <c r="A76" s="122">
        <v>44926</v>
      </c>
      <c r="B76" s="144" t="s">
        <v>62</v>
      </c>
      <c r="C76" s="144" t="s">
        <v>56</v>
      </c>
      <c r="D76" s="145" t="s">
        <v>137</v>
      </c>
      <c r="E76" s="146">
        <v>15420.19</v>
      </c>
      <c r="F76" s="146"/>
    </row>
    <row r="77" spans="1:7" x14ac:dyDescent="0.25">
      <c r="A77" s="122">
        <v>44926</v>
      </c>
      <c r="B77" s="147" t="s">
        <v>62</v>
      </c>
      <c r="C77" s="147" t="s">
        <v>56</v>
      </c>
      <c r="D77" s="148" t="s">
        <v>137</v>
      </c>
      <c r="E77" s="149">
        <v>43.8</v>
      </c>
      <c r="F77" s="149"/>
    </row>
    <row r="78" spans="1:7" x14ac:dyDescent="0.25">
      <c r="A78" s="122">
        <v>44926</v>
      </c>
      <c r="B78" s="147" t="s">
        <v>211</v>
      </c>
      <c r="C78" s="147" t="s">
        <v>56</v>
      </c>
      <c r="D78" s="148" t="s">
        <v>137</v>
      </c>
      <c r="E78" s="149"/>
      <c r="F78" s="149">
        <v>43.8</v>
      </c>
    </row>
    <row r="79" spans="1:7" x14ac:dyDescent="0.25">
      <c r="A79" s="122">
        <v>44926</v>
      </c>
      <c r="B79" s="147" t="s">
        <v>57</v>
      </c>
      <c r="C79" s="147" t="s">
        <v>56</v>
      </c>
      <c r="D79" s="148" t="s">
        <v>137</v>
      </c>
      <c r="E79" s="149"/>
      <c r="F79" s="149">
        <v>3970</v>
      </c>
    </row>
    <row r="80" spans="1:7" ht="17.45" customHeight="1" x14ac:dyDescent="0.25">
      <c r="A80" s="122">
        <v>44926</v>
      </c>
      <c r="B80" s="147" t="s">
        <v>58</v>
      </c>
      <c r="C80" s="147" t="s">
        <v>56</v>
      </c>
      <c r="D80" s="148" t="s">
        <v>137</v>
      </c>
      <c r="E80" s="149"/>
      <c r="F80" s="149">
        <v>4549</v>
      </c>
    </row>
    <row r="81" spans="1:6" x14ac:dyDescent="0.25">
      <c r="A81" s="122">
        <v>44926</v>
      </c>
      <c r="B81" s="147" t="s">
        <v>59</v>
      </c>
      <c r="C81" s="147" t="s">
        <v>56</v>
      </c>
      <c r="D81" s="148" t="s">
        <v>137</v>
      </c>
      <c r="E81" s="149"/>
      <c r="F81" s="149">
        <v>5028.1899999999996</v>
      </c>
    </row>
    <row r="82" spans="1:6" x14ac:dyDescent="0.25">
      <c r="A82" s="122">
        <v>44926</v>
      </c>
      <c r="B82" s="147" t="s">
        <v>60</v>
      </c>
      <c r="C82" s="147" t="s">
        <v>56</v>
      </c>
      <c r="D82" s="148" t="s">
        <v>137</v>
      </c>
      <c r="E82" s="149"/>
      <c r="F82" s="149">
        <v>913</v>
      </c>
    </row>
    <row r="83" spans="1:6" x14ac:dyDescent="0.25">
      <c r="A83" s="122">
        <v>44926</v>
      </c>
      <c r="B83" s="150" t="s">
        <v>60</v>
      </c>
      <c r="C83" s="150" t="s">
        <v>56</v>
      </c>
      <c r="D83" s="151" t="s">
        <v>137</v>
      </c>
      <c r="E83" s="152"/>
      <c r="F83" s="152">
        <v>960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2:P35"/>
  <sheetViews>
    <sheetView zoomScale="115" zoomScaleNormal="115" workbookViewId="0">
      <selection activeCell="L11" sqref="L11"/>
    </sheetView>
  </sheetViews>
  <sheetFormatPr baseColWidth="10" defaultColWidth="12" defaultRowHeight="15.6" customHeight="1" outlineLevelRow="2" x14ac:dyDescent="0.25"/>
  <cols>
    <col min="1" max="1" width="24.625" style="3" customWidth="1"/>
    <col min="2" max="2" width="36" style="35" customWidth="1"/>
    <col min="3" max="3" width="6.75" style="3" customWidth="1"/>
    <col min="4" max="4" width="8.125" style="3" customWidth="1"/>
    <col min="5" max="5" width="16.625" style="4" customWidth="1"/>
    <col min="6" max="6" width="13.75" style="4" customWidth="1"/>
    <col min="7" max="7" width="15.75" style="4" customWidth="1"/>
    <col min="8" max="8" width="17.125" style="4" customWidth="1"/>
    <col min="9" max="9" width="14" style="4" customWidth="1"/>
    <col min="10" max="10" width="15.75" style="3" customWidth="1"/>
    <col min="11" max="11" width="13.75" style="3" customWidth="1"/>
    <col min="12" max="12" width="15.75" style="3" customWidth="1"/>
    <col min="13" max="13" width="13.5" style="3" customWidth="1"/>
    <col min="14" max="14" width="15.5" style="3" customWidth="1"/>
    <col min="15" max="16384" width="12" style="3"/>
  </cols>
  <sheetData>
    <row r="2" spans="1:16" ht="18" x14ac:dyDescent="0.25">
      <c r="A2" s="3" t="s">
        <v>11</v>
      </c>
      <c r="C2" s="219" t="s">
        <v>122</v>
      </c>
      <c r="D2" s="219"/>
      <c r="E2" s="219"/>
      <c r="F2" s="219"/>
      <c r="G2" s="219"/>
      <c r="H2" s="219"/>
      <c r="I2" s="70"/>
      <c r="J2" s="46"/>
      <c r="K2" s="46"/>
      <c r="L2" s="46"/>
      <c r="M2" s="46"/>
      <c r="N2" s="46"/>
      <c r="O2" s="46"/>
    </row>
    <row r="3" spans="1:16" ht="15" x14ac:dyDescent="0.25"/>
    <row r="4" spans="1:16" ht="18" customHeight="1" x14ac:dyDescent="0.25">
      <c r="A4" s="236" t="s">
        <v>285</v>
      </c>
      <c r="B4" s="237"/>
      <c r="C4" s="237"/>
      <c r="D4" s="238"/>
      <c r="E4" s="233" t="s">
        <v>63</v>
      </c>
      <c r="F4" s="234"/>
      <c r="G4" s="234"/>
      <c r="H4" s="235"/>
      <c r="I4" s="230" t="s">
        <v>64</v>
      </c>
      <c r="J4" s="231"/>
      <c r="K4" s="231"/>
      <c r="L4" s="231"/>
      <c r="M4" s="232"/>
      <c r="N4" s="226" t="s">
        <v>5</v>
      </c>
      <c r="O4" s="228" t="s">
        <v>123</v>
      </c>
    </row>
    <row r="5" spans="1:16" ht="44.25" customHeight="1" x14ac:dyDescent="0.25">
      <c r="A5" s="29" t="s">
        <v>2</v>
      </c>
      <c r="B5" s="29" t="s">
        <v>3</v>
      </c>
      <c r="C5" s="29" t="s">
        <v>7</v>
      </c>
      <c r="D5" s="29" t="s">
        <v>1</v>
      </c>
      <c r="E5" s="36" t="s">
        <v>281</v>
      </c>
      <c r="F5" s="36" t="s">
        <v>282</v>
      </c>
      <c r="G5" s="36" t="s">
        <v>283</v>
      </c>
      <c r="H5" s="37" t="s">
        <v>284</v>
      </c>
      <c r="I5" s="38" t="s">
        <v>286</v>
      </c>
      <c r="J5" s="38" t="s">
        <v>287</v>
      </c>
      <c r="K5" s="38" t="s">
        <v>288</v>
      </c>
      <c r="L5" s="38" t="s">
        <v>31</v>
      </c>
      <c r="M5" s="39" t="s">
        <v>289</v>
      </c>
      <c r="N5" s="227"/>
      <c r="O5" s="229"/>
    </row>
    <row r="6" spans="1:16" ht="15.6" customHeight="1" outlineLevel="2" x14ac:dyDescent="0.25">
      <c r="A6" s="31" t="s">
        <v>25</v>
      </c>
      <c r="B6" s="31" t="s">
        <v>8</v>
      </c>
      <c r="C6" s="32">
        <v>44198</v>
      </c>
      <c r="D6" s="29"/>
      <c r="E6" s="47">
        <v>30000</v>
      </c>
      <c r="F6" s="40"/>
      <c r="G6" s="40"/>
      <c r="H6" s="41">
        <f>+F6+E6-G6</f>
        <v>30000</v>
      </c>
      <c r="I6" s="48"/>
      <c r="J6" s="49"/>
      <c r="K6" s="49"/>
      <c r="L6" s="49"/>
      <c r="M6" s="43">
        <f>I6+J6+K6+L6</f>
        <v>0</v>
      </c>
      <c r="N6" s="10">
        <f t="shared" ref="N6:N26" si="0">+H6-M6</f>
        <v>30000</v>
      </c>
      <c r="O6" s="10"/>
    </row>
    <row r="7" spans="1:16" s="28" customFormat="1" ht="15.6" customHeight="1" outlineLevel="1" x14ac:dyDescent="0.25">
      <c r="A7" s="50" t="s">
        <v>26</v>
      </c>
      <c r="B7" s="50"/>
      <c r="C7" s="214"/>
      <c r="D7" s="72"/>
      <c r="E7" s="73">
        <f t="shared" ref="E7:O7" si="1">SUBTOTAL(9,E6:E6)</f>
        <v>30000</v>
      </c>
      <c r="F7" s="44">
        <f t="shared" si="1"/>
        <v>0</v>
      </c>
      <c r="G7" s="44">
        <f t="shared" si="1"/>
        <v>0</v>
      </c>
      <c r="H7" s="44">
        <f t="shared" si="1"/>
        <v>30000</v>
      </c>
      <c r="I7" s="73">
        <f t="shared" si="1"/>
        <v>0</v>
      </c>
      <c r="J7" s="74">
        <f t="shared" si="1"/>
        <v>0</v>
      </c>
      <c r="K7" s="74">
        <f t="shared" si="1"/>
        <v>0</v>
      </c>
      <c r="L7" s="74">
        <f t="shared" si="1"/>
        <v>0</v>
      </c>
      <c r="M7" s="45">
        <f t="shared" si="1"/>
        <v>0</v>
      </c>
      <c r="N7" s="45">
        <f t="shared" si="0"/>
        <v>30000</v>
      </c>
      <c r="O7" s="45">
        <f t="shared" si="1"/>
        <v>0</v>
      </c>
    </row>
    <row r="8" spans="1:16" ht="15.6" customHeight="1" outlineLevel="2" x14ac:dyDescent="0.25">
      <c r="A8" s="33" t="s">
        <v>13</v>
      </c>
      <c r="B8" s="31" t="s">
        <v>66</v>
      </c>
      <c r="C8" s="32">
        <v>44198</v>
      </c>
      <c r="D8" s="34">
        <v>5</v>
      </c>
      <c r="E8" s="40">
        <v>14850</v>
      </c>
      <c r="F8" s="40"/>
      <c r="G8" s="40"/>
      <c r="H8" s="41">
        <f>+F8+E8-G8</f>
        <v>14850</v>
      </c>
      <c r="I8" s="51">
        <f>+E8*10/12/D8</f>
        <v>2475</v>
      </c>
      <c r="J8" s="42">
        <f>E8/D8</f>
        <v>2970</v>
      </c>
      <c r="K8" s="42"/>
      <c r="L8" s="42"/>
      <c r="M8" s="43">
        <f>I8+J8+K8+L8</f>
        <v>5445</v>
      </c>
      <c r="N8" s="10">
        <f t="shared" si="0"/>
        <v>9405</v>
      </c>
      <c r="O8" s="10"/>
    </row>
    <row r="9" spans="1:16" ht="30.6" customHeight="1" outlineLevel="2" x14ac:dyDescent="0.25">
      <c r="A9" s="33" t="s">
        <v>13</v>
      </c>
      <c r="B9" s="31" t="s">
        <v>15</v>
      </c>
      <c r="C9" s="30">
        <v>44214</v>
      </c>
      <c r="D9" s="34">
        <v>3</v>
      </c>
      <c r="E9" s="40">
        <v>3000</v>
      </c>
      <c r="F9" s="40"/>
      <c r="G9" s="40"/>
      <c r="H9" s="41">
        <f>+F9+E9-G9</f>
        <v>3000</v>
      </c>
      <c r="I9" s="51">
        <f>+E9*11.5/12/D9</f>
        <v>958.33333333333337</v>
      </c>
      <c r="J9" s="42">
        <f>E9/D9</f>
        <v>1000</v>
      </c>
      <c r="K9" s="42"/>
      <c r="L9" s="42"/>
      <c r="M9" s="43">
        <f>I9+J9+K9+L9</f>
        <v>1958.3333333333335</v>
      </c>
      <c r="N9" s="10">
        <f t="shared" si="0"/>
        <v>1041.6666666666665</v>
      </c>
      <c r="O9" s="10"/>
    </row>
    <row r="10" spans="1:16" ht="30.6" customHeight="1" outlineLevel="2" x14ac:dyDescent="0.25">
      <c r="A10" s="33" t="s">
        <v>13</v>
      </c>
      <c r="B10" s="31" t="s">
        <v>82</v>
      </c>
      <c r="C10" s="30"/>
      <c r="D10" s="34">
        <v>4</v>
      </c>
      <c r="E10" s="40"/>
      <c r="F10" s="40">
        <v>2900</v>
      </c>
      <c r="G10" s="40"/>
      <c r="H10" s="41">
        <f>+F10+E10-G10</f>
        <v>2900</v>
      </c>
      <c r="I10" s="51"/>
      <c r="J10" s="42">
        <f>+F10*(30+23)/360/D10</f>
        <v>106.73611111111111</v>
      </c>
      <c r="K10" s="42"/>
      <c r="L10" s="42"/>
      <c r="M10" s="43">
        <f>I10+J10+K10+L10</f>
        <v>106.73611111111111</v>
      </c>
      <c r="N10" s="10">
        <f t="shared" si="0"/>
        <v>2793.2638888888887</v>
      </c>
      <c r="O10" s="10">
        <f>+H10*(25%*1.25)*(2/12)-J10</f>
        <v>44.305555555555543</v>
      </c>
    </row>
    <row r="11" spans="1:16" s="28" customFormat="1" ht="15.6" customHeight="1" outlineLevel="1" x14ac:dyDescent="0.25">
      <c r="A11" s="52" t="s">
        <v>20</v>
      </c>
      <c r="B11" s="50"/>
      <c r="C11" s="215"/>
      <c r="D11" s="74"/>
      <c r="E11" s="44">
        <f>SUBTOTAL(9,E8:E10)</f>
        <v>17850</v>
      </c>
      <c r="F11" s="44">
        <f>SUBTOTAL(9,F8:F10)</f>
        <v>2900</v>
      </c>
      <c r="G11" s="44">
        <f>SUBTOTAL(9,G8:G10)</f>
        <v>0</v>
      </c>
      <c r="H11" s="44">
        <f>SUBTOTAL(9,H8:H10)</f>
        <v>20750</v>
      </c>
      <c r="I11" s="44">
        <f t="shared" ref="I11:L11" si="2">SUBTOTAL(9,I8:I10)</f>
        <v>3433.3333333333335</v>
      </c>
      <c r="J11" s="44">
        <f>SUBTOTAL(9,J8:J10)</f>
        <v>4076.7361111111113</v>
      </c>
      <c r="K11" s="44">
        <f t="shared" si="2"/>
        <v>0</v>
      </c>
      <c r="L11" s="44">
        <f t="shared" si="2"/>
        <v>0</v>
      </c>
      <c r="M11" s="44">
        <f>SUBTOTAL(9,M8:M10)</f>
        <v>7510.0694444444453</v>
      </c>
      <c r="N11" s="45">
        <f t="shared" si="0"/>
        <v>13239.930555555555</v>
      </c>
      <c r="O11" s="45">
        <f t="shared" ref="O11" si="3">SUBTOTAL(9,O8:O9)</f>
        <v>0</v>
      </c>
      <c r="P11" s="28">
        <f>20600-2750</f>
        <v>17850</v>
      </c>
    </row>
    <row r="12" spans="1:16" ht="15.6" customHeight="1" outlineLevel="2" x14ac:dyDescent="0.25">
      <c r="A12" s="33" t="s">
        <v>6</v>
      </c>
      <c r="B12" s="31" t="s">
        <v>14</v>
      </c>
      <c r="C12" s="32">
        <v>44198</v>
      </c>
      <c r="D12" s="34">
        <v>10</v>
      </c>
      <c r="E12" s="40">
        <v>5220</v>
      </c>
      <c r="F12" s="40"/>
      <c r="G12" s="40"/>
      <c r="H12" s="41">
        <f>+F12+E12-G12</f>
        <v>5220</v>
      </c>
      <c r="I12" s="51">
        <f>+E12/D12</f>
        <v>522</v>
      </c>
      <c r="J12" s="42">
        <f>E12/D12</f>
        <v>522</v>
      </c>
      <c r="K12" s="42"/>
      <c r="L12" s="42"/>
      <c r="M12" s="43">
        <f>I12+J12+K12+L12</f>
        <v>1044</v>
      </c>
      <c r="N12" s="10">
        <f t="shared" si="0"/>
        <v>4176</v>
      </c>
      <c r="O12" s="10"/>
    </row>
    <row r="13" spans="1:16" ht="15.6" customHeight="1" outlineLevel="2" x14ac:dyDescent="0.25">
      <c r="A13" s="33" t="s">
        <v>6</v>
      </c>
      <c r="B13" s="31" t="s">
        <v>12</v>
      </c>
      <c r="C13" s="32">
        <v>44198</v>
      </c>
      <c r="D13" s="34">
        <v>10</v>
      </c>
      <c r="E13" s="40">
        <v>8900</v>
      </c>
      <c r="F13" s="40"/>
      <c r="G13" s="40"/>
      <c r="H13" s="41">
        <f>+F13+E13-G13</f>
        <v>8900</v>
      </c>
      <c r="I13" s="51">
        <f>+E13/D13</f>
        <v>890</v>
      </c>
      <c r="J13" s="42">
        <f>E13/D13</f>
        <v>890</v>
      </c>
      <c r="K13" s="42"/>
      <c r="L13" s="42"/>
      <c r="M13" s="43">
        <f>I13+J13+K13+L13</f>
        <v>1780</v>
      </c>
      <c r="N13" s="10">
        <f t="shared" si="0"/>
        <v>7120</v>
      </c>
      <c r="O13" s="10"/>
    </row>
    <row r="14" spans="1:16" ht="15.6" customHeight="1" outlineLevel="2" x14ac:dyDescent="0.25">
      <c r="A14" s="33" t="s">
        <v>6</v>
      </c>
      <c r="B14" s="31" t="s">
        <v>28</v>
      </c>
      <c r="C14" s="30">
        <v>44271</v>
      </c>
      <c r="D14" s="34">
        <v>10</v>
      </c>
      <c r="E14" s="40">
        <v>14320</v>
      </c>
      <c r="F14" s="40"/>
      <c r="G14" s="40"/>
      <c r="H14" s="41">
        <f>+F14+E14-G14</f>
        <v>14320</v>
      </c>
      <c r="I14" s="51">
        <f>+E14/D14</f>
        <v>1432</v>
      </c>
      <c r="J14" s="42">
        <f>E14/D14</f>
        <v>1432</v>
      </c>
      <c r="K14" s="42"/>
      <c r="L14" s="42"/>
      <c r="M14" s="43">
        <f>I14+J14+K14+L14</f>
        <v>2864</v>
      </c>
      <c r="N14" s="10">
        <f t="shared" si="0"/>
        <v>11456</v>
      </c>
      <c r="O14" s="10"/>
    </row>
    <row r="15" spans="1:16" ht="15.6" customHeight="1" outlineLevel="2" x14ac:dyDescent="0.25">
      <c r="A15" s="33" t="s">
        <v>6</v>
      </c>
      <c r="B15" s="31" t="s">
        <v>29</v>
      </c>
      <c r="C15" s="30">
        <v>44410</v>
      </c>
      <c r="D15" s="34">
        <v>2</v>
      </c>
      <c r="E15" s="40">
        <v>3720</v>
      </c>
      <c r="F15" s="53"/>
      <c r="G15" s="40"/>
      <c r="H15" s="41">
        <f>+F15+E15-G15</f>
        <v>3720</v>
      </c>
      <c r="I15" s="51">
        <f>+E15/D15*5/12</f>
        <v>775</v>
      </c>
      <c r="J15" s="42">
        <f>E15/D15*11/12</f>
        <v>1705</v>
      </c>
      <c r="K15" s="42"/>
      <c r="L15" s="42"/>
      <c r="M15" s="43">
        <f>I15+J15+K15+L15</f>
        <v>2480</v>
      </c>
      <c r="N15" s="10">
        <f t="shared" si="0"/>
        <v>1240</v>
      </c>
      <c r="O15" s="10"/>
    </row>
    <row r="16" spans="1:16" s="28" customFormat="1" ht="15.6" customHeight="1" outlineLevel="1" x14ac:dyDescent="0.25">
      <c r="A16" s="52" t="s">
        <v>19</v>
      </c>
      <c r="B16" s="50"/>
      <c r="C16" s="30"/>
      <c r="D16" s="74"/>
      <c r="E16" s="44">
        <f t="shared" ref="E16:M16" si="4">SUBTOTAL(9,E12:E15)</f>
        <v>32160</v>
      </c>
      <c r="F16" s="45">
        <f t="shared" si="4"/>
        <v>0</v>
      </c>
      <c r="G16" s="44">
        <f t="shared" si="4"/>
        <v>0</v>
      </c>
      <c r="H16" s="44">
        <f t="shared" si="4"/>
        <v>32160</v>
      </c>
      <c r="I16" s="44">
        <f t="shared" si="4"/>
        <v>3619</v>
      </c>
      <c r="J16" s="45">
        <f t="shared" si="4"/>
        <v>4549</v>
      </c>
      <c r="K16" s="45">
        <f t="shared" si="4"/>
        <v>0</v>
      </c>
      <c r="L16" s="45">
        <f t="shared" si="4"/>
        <v>0</v>
      </c>
      <c r="M16" s="45">
        <f t="shared" si="4"/>
        <v>8168</v>
      </c>
      <c r="N16" s="45">
        <f t="shared" si="0"/>
        <v>23992</v>
      </c>
      <c r="O16" s="45">
        <f>SUBTOTAL(9,O12:O15)</f>
        <v>0</v>
      </c>
    </row>
    <row r="17" spans="1:15" ht="30.6" customHeight="1" outlineLevel="2" x14ac:dyDescent="0.25">
      <c r="A17" s="33" t="s">
        <v>4</v>
      </c>
      <c r="B17" s="31" t="s">
        <v>18</v>
      </c>
      <c r="C17" s="215"/>
      <c r="D17" s="34">
        <v>4</v>
      </c>
      <c r="E17" s="47">
        <v>17800</v>
      </c>
      <c r="F17" s="40"/>
      <c r="G17" s="40">
        <v>17800</v>
      </c>
      <c r="H17" s="41">
        <f>+F17+E17-G17</f>
        <v>0</v>
      </c>
      <c r="I17" s="51">
        <f>+E17/D17</f>
        <v>4450</v>
      </c>
      <c r="J17" s="42">
        <f>E17/D17*(30*11+17)/360</f>
        <v>4289.3055555555557</v>
      </c>
      <c r="K17" s="42"/>
      <c r="L17" s="42">
        <f>-I17-J17</f>
        <v>-8739.3055555555547</v>
      </c>
      <c r="M17" s="43">
        <f>I17+J17+K17+L17</f>
        <v>0</v>
      </c>
      <c r="N17" s="10">
        <f t="shared" si="0"/>
        <v>0</v>
      </c>
      <c r="O17" s="10"/>
    </row>
    <row r="18" spans="1:15" ht="15.6" customHeight="1" outlineLevel="2" x14ac:dyDescent="0.25">
      <c r="A18" s="33" t="s">
        <v>4</v>
      </c>
      <c r="B18" s="31" t="s">
        <v>30</v>
      </c>
      <c r="C18" s="32">
        <v>44199</v>
      </c>
      <c r="D18" s="34">
        <v>4</v>
      </c>
      <c r="E18" s="47"/>
      <c r="F18" s="40">
        <v>19000</v>
      </c>
      <c r="G18" s="40"/>
      <c r="H18" s="41">
        <f>+F18+E18-G18</f>
        <v>19000</v>
      </c>
      <c r="I18" s="51">
        <f>+E18/D18</f>
        <v>0</v>
      </c>
      <c r="J18" s="42">
        <f>F18/D18*56/360</f>
        <v>738.88888888888891</v>
      </c>
      <c r="K18" s="42"/>
      <c r="L18" s="42"/>
      <c r="M18" s="43">
        <f>I18+J18+K18+L18</f>
        <v>738.88888888888891</v>
      </c>
      <c r="N18" s="10">
        <f t="shared" si="0"/>
        <v>18261.111111111109</v>
      </c>
      <c r="O18" s="10"/>
    </row>
    <row r="19" spans="1:15" s="28" customFormat="1" ht="15.6" customHeight="1" outlineLevel="1" x14ac:dyDescent="0.25">
      <c r="A19" s="52" t="s">
        <v>22</v>
      </c>
      <c r="B19" s="50"/>
      <c r="C19" s="30"/>
      <c r="D19" s="74"/>
      <c r="E19" s="73">
        <f t="shared" ref="E19:O19" si="5">SUBTOTAL(9,E17:E18)</f>
        <v>17800</v>
      </c>
      <c r="F19" s="44">
        <f t="shared" si="5"/>
        <v>19000</v>
      </c>
      <c r="G19" s="44">
        <f t="shared" si="5"/>
        <v>17800</v>
      </c>
      <c r="H19" s="44">
        <f t="shared" si="5"/>
        <v>19000</v>
      </c>
      <c r="I19" s="44">
        <f t="shared" si="5"/>
        <v>4450</v>
      </c>
      <c r="J19" s="45">
        <f t="shared" si="5"/>
        <v>5028.1944444444443</v>
      </c>
      <c r="K19" s="45">
        <f t="shared" si="5"/>
        <v>0</v>
      </c>
      <c r="L19" s="45">
        <f t="shared" si="5"/>
        <v>-8739.3055555555547</v>
      </c>
      <c r="M19" s="45">
        <f t="shared" si="5"/>
        <v>738.88888888888891</v>
      </c>
      <c r="N19" s="45">
        <f t="shared" si="0"/>
        <v>18261.111111111109</v>
      </c>
      <c r="O19" s="45">
        <f t="shared" si="5"/>
        <v>0</v>
      </c>
    </row>
    <row r="20" spans="1:15" ht="15.6" customHeight="1" outlineLevel="2" x14ac:dyDescent="0.25">
      <c r="A20" s="33" t="s">
        <v>9</v>
      </c>
      <c r="B20" s="31" t="s">
        <v>16</v>
      </c>
      <c r="C20" s="215"/>
      <c r="D20" s="34">
        <v>5</v>
      </c>
      <c r="E20" s="40">
        <v>1780</v>
      </c>
      <c r="F20" s="40"/>
      <c r="G20" s="40"/>
      <c r="H20" s="41">
        <f>+F20+E20-G20</f>
        <v>1780</v>
      </c>
      <c r="I20" s="51">
        <f>+E20/D20</f>
        <v>356</v>
      </c>
      <c r="J20" s="42">
        <f>E20/D20</f>
        <v>356</v>
      </c>
      <c r="K20" s="42"/>
      <c r="L20" s="42"/>
      <c r="M20" s="43">
        <f>I20+J20+K20+L20</f>
        <v>712</v>
      </c>
      <c r="N20" s="10">
        <f t="shared" si="0"/>
        <v>1068</v>
      </c>
      <c r="O20" s="10"/>
    </row>
    <row r="21" spans="1:15" ht="15.6" customHeight="1" outlineLevel="2" x14ac:dyDescent="0.25">
      <c r="A21" s="33" t="s">
        <v>9</v>
      </c>
      <c r="B21" s="31" t="s">
        <v>17</v>
      </c>
      <c r="C21" s="32">
        <v>44198</v>
      </c>
      <c r="D21" s="34">
        <v>5</v>
      </c>
      <c r="E21" s="40">
        <v>2785</v>
      </c>
      <c r="F21" s="40"/>
      <c r="G21" s="40"/>
      <c r="H21" s="41">
        <f>+F21+E21-G21</f>
        <v>2785</v>
      </c>
      <c r="I21" s="51">
        <f>+E21/D21</f>
        <v>557</v>
      </c>
      <c r="J21" s="42">
        <f>E21/D21</f>
        <v>557</v>
      </c>
      <c r="K21" s="42"/>
      <c r="L21" s="42"/>
      <c r="M21" s="43">
        <f>I21+J21+K21+L21</f>
        <v>1114</v>
      </c>
      <c r="N21" s="10">
        <f t="shared" si="0"/>
        <v>1671</v>
      </c>
      <c r="O21" s="10"/>
    </row>
    <row r="22" spans="1:15" s="28" customFormat="1" ht="15.6" customHeight="1" outlineLevel="1" x14ac:dyDescent="0.25">
      <c r="A22" s="52" t="s">
        <v>21</v>
      </c>
      <c r="B22" s="50"/>
      <c r="C22" s="32">
        <v>44198</v>
      </c>
      <c r="D22" s="74"/>
      <c r="E22" s="44">
        <f t="shared" ref="E22:O22" si="6">SUBTOTAL(9,E20:E21)</f>
        <v>4565</v>
      </c>
      <c r="F22" s="44">
        <f t="shared" si="6"/>
        <v>0</v>
      </c>
      <c r="G22" s="44">
        <f t="shared" si="6"/>
        <v>0</v>
      </c>
      <c r="H22" s="44">
        <f t="shared" si="6"/>
        <v>4565</v>
      </c>
      <c r="I22" s="44">
        <f t="shared" si="6"/>
        <v>913</v>
      </c>
      <c r="J22" s="45">
        <f t="shared" si="6"/>
        <v>913</v>
      </c>
      <c r="K22" s="45">
        <f t="shared" si="6"/>
        <v>0</v>
      </c>
      <c r="L22" s="45">
        <f t="shared" si="6"/>
        <v>0</v>
      </c>
      <c r="M22" s="45">
        <f t="shared" si="6"/>
        <v>1826</v>
      </c>
      <c r="N22" s="45">
        <f t="shared" si="0"/>
        <v>2739</v>
      </c>
      <c r="O22" s="45">
        <f t="shared" si="6"/>
        <v>0</v>
      </c>
    </row>
    <row r="23" spans="1:15" ht="15.6" customHeight="1" outlineLevel="2" x14ac:dyDescent="0.25">
      <c r="A23" s="34" t="s">
        <v>10</v>
      </c>
      <c r="B23" s="31" t="s">
        <v>27</v>
      </c>
      <c r="C23" s="215"/>
      <c r="D23" s="34">
        <v>3</v>
      </c>
      <c r="E23" s="40">
        <v>1440</v>
      </c>
      <c r="F23" s="40"/>
      <c r="G23" s="40"/>
      <c r="H23" s="41">
        <f>+F23+E23-G23</f>
        <v>1440</v>
      </c>
      <c r="I23" s="51">
        <f>+E23/D23</f>
        <v>480</v>
      </c>
      <c r="J23" s="42">
        <f>E23/D23</f>
        <v>480</v>
      </c>
      <c r="K23" s="42"/>
      <c r="L23" s="42"/>
      <c r="M23" s="43">
        <f>I23+J23+K23+L23</f>
        <v>960</v>
      </c>
      <c r="N23" s="10">
        <f t="shared" si="0"/>
        <v>480</v>
      </c>
      <c r="O23" s="10"/>
    </row>
    <row r="24" spans="1:15" ht="15.6" customHeight="1" outlineLevel="2" x14ac:dyDescent="0.25">
      <c r="A24" s="34" t="s">
        <v>10</v>
      </c>
      <c r="B24" s="31" t="s">
        <v>27</v>
      </c>
      <c r="C24" s="32">
        <v>44198</v>
      </c>
      <c r="D24" s="34">
        <v>3</v>
      </c>
      <c r="E24" s="40">
        <v>1440</v>
      </c>
      <c r="F24" s="40"/>
      <c r="G24" s="40"/>
      <c r="H24" s="41">
        <f>+F24+E24-G24</f>
        <v>1440</v>
      </c>
      <c r="I24" s="51">
        <f>+E24/D24</f>
        <v>480</v>
      </c>
      <c r="J24" s="42">
        <f>E24/D24</f>
        <v>480</v>
      </c>
      <c r="K24" s="42"/>
      <c r="L24" s="42"/>
      <c r="M24" s="43">
        <f>I24+J24+K24+L24</f>
        <v>960</v>
      </c>
      <c r="N24" s="10">
        <f t="shared" si="0"/>
        <v>480</v>
      </c>
      <c r="O24" s="10"/>
    </row>
    <row r="25" spans="1:15" s="28" customFormat="1" ht="15.6" customHeight="1" outlineLevel="1" thickBot="1" x14ac:dyDescent="0.3">
      <c r="A25" s="54" t="s">
        <v>23</v>
      </c>
      <c r="B25" s="75"/>
      <c r="C25" s="32">
        <v>44198</v>
      </c>
      <c r="D25" s="54"/>
      <c r="E25" s="55">
        <f t="shared" ref="E25:O25" si="7">SUBTOTAL(9,E23:E24)</f>
        <v>2880</v>
      </c>
      <c r="F25" s="55">
        <f t="shared" si="7"/>
        <v>0</v>
      </c>
      <c r="G25" s="55">
        <f t="shared" si="7"/>
        <v>0</v>
      </c>
      <c r="H25" s="55">
        <f t="shared" si="7"/>
        <v>2880</v>
      </c>
      <c r="I25" s="55">
        <f t="shared" si="7"/>
        <v>960</v>
      </c>
      <c r="J25" s="56">
        <f t="shared" si="7"/>
        <v>960</v>
      </c>
      <c r="K25" s="56">
        <f t="shared" si="7"/>
        <v>0</v>
      </c>
      <c r="L25" s="56">
        <f t="shared" si="7"/>
        <v>0</v>
      </c>
      <c r="M25" s="56">
        <f t="shared" si="7"/>
        <v>1920</v>
      </c>
      <c r="N25" s="56">
        <f t="shared" si="0"/>
        <v>960</v>
      </c>
      <c r="O25" s="56">
        <f t="shared" si="7"/>
        <v>0</v>
      </c>
    </row>
    <row r="26" spans="1:15" s="9" customFormat="1" ht="15.6" customHeight="1" thickBot="1" x14ac:dyDescent="0.3">
      <c r="A26" s="57" t="s">
        <v>24</v>
      </c>
      <c r="B26" s="58"/>
      <c r="C26" s="216"/>
      <c r="D26" s="59"/>
      <c r="E26" s="60">
        <f t="shared" ref="E26:M26" si="8">SUBTOTAL(9,E6:E24)</f>
        <v>105255</v>
      </c>
      <c r="F26" s="60">
        <f t="shared" si="8"/>
        <v>21900</v>
      </c>
      <c r="G26" s="60">
        <f t="shared" si="8"/>
        <v>17800</v>
      </c>
      <c r="H26" s="60">
        <f t="shared" si="8"/>
        <v>109355</v>
      </c>
      <c r="I26" s="61">
        <f t="shared" si="8"/>
        <v>13375.333333333334</v>
      </c>
      <c r="J26" s="62">
        <f t="shared" si="8"/>
        <v>15526.930555555557</v>
      </c>
      <c r="K26" s="62">
        <f t="shared" si="8"/>
        <v>0</v>
      </c>
      <c r="L26" s="62">
        <f t="shared" si="8"/>
        <v>-8739.3055555555547</v>
      </c>
      <c r="M26" s="62">
        <f t="shared" si="8"/>
        <v>20162.958333333336</v>
      </c>
      <c r="N26" s="63">
        <f t="shared" si="0"/>
        <v>89192.041666666657</v>
      </c>
      <c r="O26" s="64">
        <f>SUBTOTAL(9,O6:O24)</f>
        <v>44.305555555555543</v>
      </c>
    </row>
    <row r="27" spans="1:15" ht="15.6" customHeight="1" outlineLevel="1" x14ac:dyDescent="0.25">
      <c r="B27" s="65"/>
      <c r="J27" s="8"/>
      <c r="M27" s="8"/>
    </row>
    <row r="28" spans="1:15" ht="15.6" customHeight="1" outlineLevel="1" x14ac:dyDescent="0.25">
      <c r="J28" s="8"/>
      <c r="M28" s="8"/>
    </row>
    <row r="29" spans="1:15" ht="15.6" customHeight="1" outlineLevel="1" x14ac:dyDescent="0.25">
      <c r="B29" s="220" t="s">
        <v>65</v>
      </c>
      <c r="C29" s="221"/>
      <c r="D29" s="221"/>
      <c r="E29" s="222"/>
    </row>
    <row r="30" spans="1:15" ht="15.6" customHeight="1" outlineLevel="1" x14ac:dyDescent="0.25">
      <c r="B30" s="69" t="s">
        <v>34</v>
      </c>
      <c r="C30" s="24"/>
      <c r="D30" s="66"/>
      <c r="E30" s="10">
        <v>707</v>
      </c>
    </row>
    <row r="31" spans="1:15" ht="15.6" customHeight="1" outlineLevel="1" x14ac:dyDescent="0.25">
      <c r="B31" s="69" t="s">
        <v>33</v>
      </c>
      <c r="C31" s="24"/>
      <c r="D31" s="67"/>
      <c r="E31" s="7">
        <v>1032</v>
      </c>
    </row>
    <row r="32" spans="1:15" ht="15.6" customHeight="1" outlineLevel="2" x14ac:dyDescent="0.25">
      <c r="B32" s="69" t="s">
        <v>32</v>
      </c>
      <c r="C32" s="24"/>
      <c r="D32" s="67"/>
      <c r="E32" s="7">
        <v>810</v>
      </c>
    </row>
    <row r="33" spans="1:15" ht="15.6" customHeight="1" outlineLevel="1" x14ac:dyDescent="0.25">
      <c r="A33" s="9"/>
      <c r="B33" s="69" t="s">
        <v>68</v>
      </c>
      <c r="C33" s="24"/>
      <c r="D33" s="67"/>
      <c r="E33" s="7">
        <v>1200</v>
      </c>
      <c r="I33" s="4">
        <f t="shared" ref="I33:O33" si="9">SUBTOTAL(9,I32:I32)</f>
        <v>0</v>
      </c>
      <c r="J33" s="3">
        <f t="shared" si="9"/>
        <v>0</v>
      </c>
      <c r="K33" s="3">
        <f t="shared" si="9"/>
        <v>0</v>
      </c>
      <c r="L33" s="3">
        <f t="shared" si="9"/>
        <v>0</v>
      </c>
      <c r="M33" s="3">
        <f t="shared" si="9"/>
        <v>0</v>
      </c>
      <c r="N33" s="3">
        <f t="shared" si="9"/>
        <v>0</v>
      </c>
      <c r="O33" s="3">
        <f t="shared" si="9"/>
        <v>0</v>
      </c>
    </row>
    <row r="34" spans="1:15" ht="15.6" customHeight="1" x14ac:dyDescent="0.25">
      <c r="B34" s="223" t="s">
        <v>67</v>
      </c>
      <c r="C34" s="224"/>
      <c r="D34" s="225"/>
      <c r="E34" s="7">
        <v>509.04</v>
      </c>
    </row>
    <row r="35" spans="1:15" ht="15.6" customHeight="1" x14ac:dyDescent="0.25">
      <c r="A35" s="5"/>
      <c r="B35" s="68"/>
      <c r="D35" s="4"/>
      <c r="E35" s="7">
        <f>SUM(E30:E34)</f>
        <v>4258.04</v>
      </c>
    </row>
  </sheetData>
  <mergeCells count="8">
    <mergeCell ref="C2:H2"/>
    <mergeCell ref="B29:E29"/>
    <mergeCell ref="B34:D34"/>
    <mergeCell ref="N4:N5"/>
    <mergeCell ref="O4:O5"/>
    <mergeCell ref="I4:M4"/>
    <mergeCell ref="E4:H4"/>
    <mergeCell ref="A4:D4"/>
  </mergeCells>
  <pageMargins left="0.19" right="0.17" top="0.74803149606299213" bottom="0.7480314960629921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  <pageSetUpPr fitToPage="1"/>
  </sheetPr>
  <dimension ref="A1:N23"/>
  <sheetViews>
    <sheetView workbookViewId="0">
      <selection activeCell="A3" sqref="A3:L3"/>
    </sheetView>
  </sheetViews>
  <sheetFormatPr baseColWidth="10" defaultColWidth="11" defaultRowHeight="15" x14ac:dyDescent="0.2"/>
  <cols>
    <col min="1" max="2" width="9.125" style="1" customWidth="1"/>
    <col min="3" max="5" width="10" style="1" customWidth="1"/>
    <col min="6" max="6" width="10.75" style="1" customWidth="1"/>
    <col min="7" max="7" width="10" style="1" customWidth="1"/>
    <col min="8" max="8" width="10.75" style="1" customWidth="1"/>
    <col min="9" max="12" width="10" style="1" customWidth="1"/>
    <col min="13" max="13" width="11.875" style="172" customWidth="1"/>
    <col min="14" max="16384" width="11" style="1"/>
  </cols>
  <sheetData>
    <row r="1" spans="1:14" x14ac:dyDescent="0.2">
      <c r="A1" s="1" t="s">
        <v>11</v>
      </c>
    </row>
    <row r="3" spans="1:14" ht="20.25" x14ac:dyDescent="0.3">
      <c r="A3" s="217" t="s">
        <v>277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</row>
    <row r="4" spans="1:14" ht="15.75" thickBot="1" x14ac:dyDescent="0.25"/>
    <row r="5" spans="1:14" ht="16.5" thickBot="1" x14ac:dyDescent="0.3">
      <c r="E5" s="239" t="s">
        <v>50</v>
      </c>
      <c r="F5" s="240"/>
      <c r="G5" s="240"/>
      <c r="H5" s="241"/>
      <c r="I5" s="239" t="s">
        <v>51</v>
      </c>
      <c r="J5" s="240"/>
      <c r="K5" s="240"/>
      <c r="L5" s="241"/>
      <c r="M5" s="242" t="s">
        <v>52</v>
      </c>
    </row>
    <row r="6" spans="1:14" s="20" customFormat="1" ht="25.5" x14ac:dyDescent="0.2">
      <c r="A6" s="167" t="s">
        <v>54</v>
      </c>
      <c r="B6" s="168" t="s">
        <v>55</v>
      </c>
      <c r="C6" s="168" t="s">
        <v>53</v>
      </c>
      <c r="D6" s="169" t="s">
        <v>47</v>
      </c>
      <c r="E6" s="165">
        <v>43100</v>
      </c>
      <c r="F6" s="26" t="s">
        <v>48</v>
      </c>
      <c r="G6" s="26" t="s">
        <v>49</v>
      </c>
      <c r="H6" s="27">
        <v>43465</v>
      </c>
      <c r="I6" s="25">
        <v>43100</v>
      </c>
      <c r="J6" s="26" t="s">
        <v>48</v>
      </c>
      <c r="K6" s="26" t="s">
        <v>49</v>
      </c>
      <c r="L6" s="27">
        <v>43465</v>
      </c>
      <c r="M6" s="243"/>
    </row>
    <row r="7" spans="1:14" s="20" customFormat="1" ht="23.25" customHeight="1" x14ac:dyDescent="0.2">
      <c r="A7" s="158" t="s">
        <v>44</v>
      </c>
      <c r="B7" s="159" t="s">
        <v>45</v>
      </c>
      <c r="C7" s="12">
        <v>696</v>
      </c>
      <c r="D7" s="170">
        <v>42887</v>
      </c>
      <c r="E7" s="157">
        <v>696</v>
      </c>
      <c r="F7" s="12"/>
      <c r="G7" s="12">
        <v>696</v>
      </c>
      <c r="H7" s="14">
        <f t="shared" ref="H7:H12" si="0">+E7+F7-G7</f>
        <v>0</v>
      </c>
      <c r="I7" s="13">
        <v>580</v>
      </c>
      <c r="J7" s="12"/>
      <c r="K7" s="12">
        <v>580</v>
      </c>
      <c r="L7" s="14">
        <f>+I7+J7-K7</f>
        <v>0</v>
      </c>
      <c r="M7" s="173"/>
      <c r="N7" s="160"/>
    </row>
    <row r="8" spans="1:14" s="20" customFormat="1" ht="23.25" customHeight="1" x14ac:dyDescent="0.2">
      <c r="A8" s="158" t="s">
        <v>35</v>
      </c>
      <c r="B8" s="159" t="s">
        <v>40</v>
      </c>
      <c r="C8" s="12">
        <v>3720</v>
      </c>
      <c r="D8" s="170">
        <v>42965</v>
      </c>
      <c r="E8" s="157">
        <v>3720</v>
      </c>
      <c r="F8" s="12"/>
      <c r="G8" s="12">
        <v>2000</v>
      </c>
      <c r="H8" s="14">
        <f t="shared" si="0"/>
        <v>1720</v>
      </c>
      <c r="I8" s="13">
        <v>1550</v>
      </c>
      <c r="J8" s="12"/>
      <c r="K8" s="12">
        <f>2000/1.2*0.5</f>
        <v>833.33333333333337</v>
      </c>
      <c r="L8" s="14">
        <f>+I8+J8-K8</f>
        <v>716.66666666666663</v>
      </c>
      <c r="M8" s="174">
        <v>0.5</v>
      </c>
      <c r="N8" s="160"/>
    </row>
    <row r="9" spans="1:14" s="20" customFormat="1" ht="23.25" customHeight="1" x14ac:dyDescent="0.2">
      <c r="A9" s="158" t="s">
        <v>36</v>
      </c>
      <c r="B9" s="159" t="s">
        <v>41</v>
      </c>
      <c r="C9" s="12">
        <v>1812</v>
      </c>
      <c r="D9" s="170">
        <v>43132</v>
      </c>
      <c r="E9" s="157"/>
      <c r="F9" s="12">
        <v>1812</v>
      </c>
      <c r="G9" s="12"/>
      <c r="H9" s="14">
        <f t="shared" si="0"/>
        <v>1812</v>
      </c>
      <c r="I9" s="15"/>
      <c r="J9" s="12">
        <f>H9*M9/1.2</f>
        <v>906.00000000000011</v>
      </c>
      <c r="K9" s="12"/>
      <c r="L9" s="14">
        <f t="shared" ref="L9:L12" si="1">+I9+J9-K9</f>
        <v>906.00000000000011</v>
      </c>
      <c r="M9" s="174">
        <v>0.6</v>
      </c>
      <c r="N9" s="160"/>
    </row>
    <row r="10" spans="1:14" s="20" customFormat="1" ht="23.25" customHeight="1" x14ac:dyDescent="0.2">
      <c r="A10" s="158" t="s">
        <v>38</v>
      </c>
      <c r="B10" s="159" t="s">
        <v>42</v>
      </c>
      <c r="C10" s="12">
        <v>4260</v>
      </c>
      <c r="D10" s="170">
        <v>43296</v>
      </c>
      <c r="E10" s="157"/>
      <c r="F10" s="12">
        <v>4260</v>
      </c>
      <c r="G10" s="12"/>
      <c r="H10" s="14">
        <f t="shared" si="0"/>
        <v>4260</v>
      </c>
      <c r="I10" s="13"/>
      <c r="J10" s="12">
        <f>H10*M10/1.2</f>
        <v>2130</v>
      </c>
      <c r="K10" s="12"/>
      <c r="L10" s="14">
        <f t="shared" si="1"/>
        <v>2130</v>
      </c>
      <c r="M10" s="174">
        <v>0.6</v>
      </c>
      <c r="N10" s="160"/>
    </row>
    <row r="11" spans="1:14" s="20" customFormat="1" ht="23.25" customHeight="1" x14ac:dyDescent="0.2">
      <c r="A11" s="158" t="s">
        <v>39</v>
      </c>
      <c r="B11" s="159" t="s">
        <v>46</v>
      </c>
      <c r="C11" s="12">
        <v>2856</v>
      </c>
      <c r="D11" s="170">
        <v>43299</v>
      </c>
      <c r="E11" s="157"/>
      <c r="F11" s="12">
        <v>2856</v>
      </c>
      <c r="G11" s="12"/>
      <c r="H11" s="14">
        <f t="shared" si="0"/>
        <v>2856</v>
      </c>
      <c r="I11" s="13"/>
      <c r="J11" s="12">
        <f>H11*M11/1.2</f>
        <v>1428</v>
      </c>
      <c r="K11" s="12"/>
      <c r="L11" s="14">
        <f t="shared" si="1"/>
        <v>1428</v>
      </c>
      <c r="M11" s="174">
        <v>0.6</v>
      </c>
      <c r="N11" s="160"/>
    </row>
    <row r="12" spans="1:14" s="20" customFormat="1" ht="23.25" customHeight="1" thickBot="1" x14ac:dyDescent="0.25">
      <c r="A12" s="161" t="s">
        <v>37</v>
      </c>
      <c r="B12" s="162" t="s">
        <v>43</v>
      </c>
      <c r="C12" s="16">
        <v>2136</v>
      </c>
      <c r="D12" s="171">
        <v>43373</v>
      </c>
      <c r="E12" s="166"/>
      <c r="F12" s="16">
        <v>2136</v>
      </c>
      <c r="G12" s="16"/>
      <c r="H12" s="164">
        <f t="shared" si="0"/>
        <v>2136</v>
      </c>
      <c r="I12" s="17"/>
      <c r="J12" s="18">
        <f>H12*M12/1.2</f>
        <v>534</v>
      </c>
      <c r="K12" s="18"/>
      <c r="L12" s="19">
        <f t="shared" si="1"/>
        <v>534</v>
      </c>
      <c r="M12" s="174">
        <v>0.3</v>
      </c>
      <c r="N12" s="160"/>
    </row>
    <row r="13" spans="1:14" s="20" customFormat="1" ht="23.25" customHeight="1" thickBot="1" x14ac:dyDescent="0.25">
      <c r="E13" s="21">
        <f t="shared" ref="E13:L13" si="2">SUM(E7:E12)</f>
        <v>4416</v>
      </c>
      <c r="F13" s="22">
        <f t="shared" si="2"/>
        <v>11064</v>
      </c>
      <c r="G13" s="22">
        <f t="shared" si="2"/>
        <v>2696</v>
      </c>
      <c r="H13" s="163">
        <f t="shared" si="2"/>
        <v>12784</v>
      </c>
      <c r="I13" s="21">
        <f t="shared" si="2"/>
        <v>2130</v>
      </c>
      <c r="J13" s="22">
        <f t="shared" si="2"/>
        <v>4998</v>
      </c>
      <c r="K13" s="22">
        <f t="shared" si="2"/>
        <v>1413.3333333333335</v>
      </c>
      <c r="L13" s="23">
        <f t="shared" si="2"/>
        <v>5714.666666666667</v>
      </c>
      <c r="M13" s="172"/>
    </row>
    <row r="16" spans="1:14" x14ac:dyDescent="0.2">
      <c r="H16" s="11"/>
    </row>
    <row r="17" spans="5:9" x14ac:dyDescent="0.2">
      <c r="I17" s="11"/>
    </row>
    <row r="18" spans="5:9" x14ac:dyDescent="0.2">
      <c r="E18" s="156"/>
    </row>
    <row r="19" spans="5:9" x14ac:dyDescent="0.2">
      <c r="E19" s="156"/>
    </row>
    <row r="20" spans="5:9" x14ac:dyDescent="0.2">
      <c r="E20" s="156"/>
    </row>
    <row r="21" spans="5:9" x14ac:dyDescent="0.2">
      <c r="E21" s="156"/>
    </row>
    <row r="22" spans="5:9" x14ac:dyDescent="0.2">
      <c r="E22" s="156"/>
    </row>
    <row r="23" spans="5:9" x14ac:dyDescent="0.2">
      <c r="E23" s="156"/>
    </row>
  </sheetData>
  <mergeCells count="4">
    <mergeCell ref="E5:H5"/>
    <mergeCell ref="I5:L5"/>
    <mergeCell ref="M5:M6"/>
    <mergeCell ref="A3:L3"/>
  </mergeCells>
  <printOptions horizontalCentered="1" verticalCentered="1"/>
  <pageMargins left="0.25" right="0.17" top="0.74803149606299213" bottom="0.74803149606299213" header="0.31496062992125984" footer="0.31496062992125984"/>
  <pageSetup paperSize="9" orientation="landscape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O34"/>
  <sheetViews>
    <sheetView topLeftCell="A4" workbookViewId="0">
      <selection activeCell="A17" sqref="A17:XFD17"/>
    </sheetView>
  </sheetViews>
  <sheetFormatPr baseColWidth="10" defaultColWidth="11.25" defaultRowHeight="15.75" x14ac:dyDescent="0.25"/>
  <cols>
    <col min="1" max="1" width="8.125" style="1" customWidth="1"/>
    <col min="2" max="2" width="24.875" style="1" customWidth="1"/>
    <col min="3" max="3" width="14.75" style="1" customWidth="1"/>
    <col min="4" max="4" width="15.625" style="1" customWidth="1"/>
    <col min="5" max="5" width="8.625" style="1" customWidth="1"/>
    <col min="6" max="7" width="12.5" style="1" customWidth="1"/>
    <col min="8" max="8" width="12.375" style="1" customWidth="1"/>
    <col min="9" max="9" width="13" style="1" customWidth="1"/>
    <col min="10" max="10" width="12.875" style="1" bestFit="1" customWidth="1"/>
    <col min="16" max="16384" width="11.25" style="1"/>
  </cols>
  <sheetData>
    <row r="1" spans="2:10" x14ac:dyDescent="0.25">
      <c r="B1" s="244" t="s">
        <v>87</v>
      </c>
      <c r="C1" s="244"/>
      <c r="D1" s="244"/>
    </row>
    <row r="2" spans="2:10" x14ac:dyDescent="0.25">
      <c r="B2" s="184"/>
      <c r="C2" s="206" t="s">
        <v>451</v>
      </c>
      <c r="D2" s="206" t="s">
        <v>452</v>
      </c>
      <c r="G2"/>
    </row>
    <row r="3" spans="2:10" x14ac:dyDescent="0.25">
      <c r="B3" s="192" t="s">
        <v>84</v>
      </c>
      <c r="C3" s="198">
        <v>34083</v>
      </c>
      <c r="D3" s="258">
        <v>37739.760000000002</v>
      </c>
    </row>
    <row r="4" spans="2:10" x14ac:dyDescent="0.25">
      <c r="B4" s="192" t="s">
        <v>83</v>
      </c>
      <c r="C4" s="205">
        <f>+C5+C6</f>
        <v>5112</v>
      </c>
      <c r="D4" s="205">
        <f>+D5+D6</f>
        <v>5661</v>
      </c>
    </row>
    <row r="5" spans="2:10" x14ac:dyDescent="0.25">
      <c r="B5" s="78" t="s">
        <v>86</v>
      </c>
      <c r="C5" s="77">
        <f>ROUND(IF(C3&lt;38120,C3*15%,38120*15%),0)</f>
        <v>5112</v>
      </c>
      <c r="D5" s="77">
        <f>ROUND(IF(D3&lt;38120,D3*15%,38120*15%),0)</f>
        <v>5661</v>
      </c>
    </row>
    <row r="6" spans="2:10" x14ac:dyDescent="0.25">
      <c r="B6" s="78" t="s">
        <v>291</v>
      </c>
      <c r="C6" s="77">
        <f>ROUND(IF(C3&lt;38120,0,(C3-38120)/3),0)</f>
        <v>0</v>
      </c>
      <c r="D6" s="77">
        <f>ROUND(IF(D3&lt;38120,0,(D3-38120)*25%),0)</f>
        <v>0</v>
      </c>
    </row>
    <row r="7" spans="2:10" x14ac:dyDescent="0.25">
      <c r="B7" s="192" t="s">
        <v>85</v>
      </c>
      <c r="C7" s="198">
        <f>+C3-C4</f>
        <v>28971</v>
      </c>
      <c r="D7" s="198">
        <f>+D3-D4</f>
        <v>32078.760000000002</v>
      </c>
    </row>
    <row r="9" spans="2:10" x14ac:dyDescent="0.25">
      <c r="D9" s="1">
        <v>34489.65</v>
      </c>
    </row>
    <row r="11" spans="2:10" x14ac:dyDescent="0.25">
      <c r="G11" s="79"/>
      <c r="H11" s="71"/>
    </row>
    <row r="13" spans="2:10" ht="15.75" customHeight="1" x14ac:dyDescent="0.25"/>
    <row r="14" spans="2:10" x14ac:dyDescent="0.25">
      <c r="B14" s="244" t="s">
        <v>293</v>
      </c>
      <c r="C14" s="244"/>
      <c r="D14" s="244"/>
      <c r="E14" s="204"/>
      <c r="F14" s="204"/>
      <c r="G14" s="204"/>
      <c r="H14" s="204"/>
      <c r="I14" s="204"/>
    </row>
    <row r="15" spans="2:10" s="35" customFormat="1" ht="30" x14ac:dyDescent="0.2">
      <c r="D15" s="6" t="s">
        <v>92</v>
      </c>
      <c r="E15" s="6" t="s">
        <v>93</v>
      </c>
      <c r="F15" s="6" t="s">
        <v>118</v>
      </c>
      <c r="G15" s="6" t="s">
        <v>119</v>
      </c>
      <c r="H15" s="6" t="s">
        <v>120</v>
      </c>
      <c r="I15" s="6" t="s">
        <v>121</v>
      </c>
      <c r="J15" s="1"/>
    </row>
    <row r="16" spans="2:10" x14ac:dyDescent="0.25">
      <c r="B16" s="100" t="s">
        <v>294</v>
      </c>
      <c r="C16" s="101">
        <v>44561</v>
      </c>
      <c r="D16" s="102"/>
      <c r="E16" s="103"/>
      <c r="F16" s="100"/>
      <c r="G16" s="175">
        <f>+C4</f>
        <v>5112</v>
      </c>
      <c r="H16" s="100"/>
      <c r="I16" s="176">
        <f>G16-F16</f>
        <v>5112</v>
      </c>
    </row>
    <row r="17" spans="2:10" x14ac:dyDescent="0.25">
      <c r="B17" s="104" t="s">
        <v>88</v>
      </c>
      <c r="C17" s="105">
        <v>44635</v>
      </c>
      <c r="D17" s="106">
        <f>+C4</f>
        <v>5112</v>
      </c>
      <c r="E17" s="107">
        <v>0.25</v>
      </c>
      <c r="F17" s="108">
        <f>ROUND(+D17*E17,0)</f>
        <v>1278</v>
      </c>
      <c r="G17" s="2"/>
      <c r="H17" s="117">
        <f t="shared" ref="H17:H22" si="0">IF((H16-I16+F17-G17)&gt;0,H16-I16+F17-G17,0)</f>
        <v>0</v>
      </c>
      <c r="I17" s="117">
        <f t="shared" ref="I17:I22" si="1">IF((I16-H16+G17-F17)&gt;0,I16-H16+G17-F17,0)</f>
        <v>3834</v>
      </c>
    </row>
    <row r="18" spans="2:10" x14ac:dyDescent="0.25">
      <c r="B18" s="100" t="s">
        <v>293</v>
      </c>
      <c r="C18" s="101">
        <v>44696</v>
      </c>
      <c r="D18" s="102"/>
      <c r="E18" s="103"/>
      <c r="F18" s="175">
        <f>G16</f>
        <v>5112</v>
      </c>
      <c r="G18" s="100"/>
      <c r="H18" s="176">
        <f t="shared" si="0"/>
        <v>1278</v>
      </c>
      <c r="I18" s="176">
        <f t="shared" si="1"/>
        <v>0</v>
      </c>
      <c r="J18" s="257" t="s">
        <v>217</v>
      </c>
    </row>
    <row r="19" spans="2:10" x14ac:dyDescent="0.25">
      <c r="B19" s="109" t="s">
        <v>89</v>
      </c>
      <c r="C19" s="110">
        <v>44727</v>
      </c>
      <c r="D19" s="111">
        <f>+D17</f>
        <v>5112</v>
      </c>
      <c r="E19" s="107">
        <v>0.25</v>
      </c>
      <c r="F19" s="108">
        <f>ROUND(+D19*E19,0)</f>
        <v>1278</v>
      </c>
      <c r="G19" s="2"/>
      <c r="H19" s="117">
        <f t="shared" si="0"/>
        <v>2556</v>
      </c>
      <c r="I19" s="117">
        <f t="shared" si="1"/>
        <v>0</v>
      </c>
    </row>
    <row r="20" spans="2:10" x14ac:dyDescent="0.25">
      <c r="B20" s="104" t="s">
        <v>90</v>
      </c>
      <c r="C20" s="105">
        <v>44819</v>
      </c>
      <c r="D20" s="106">
        <f>+D17</f>
        <v>5112</v>
      </c>
      <c r="E20" s="107">
        <v>0.25</v>
      </c>
      <c r="F20" s="108">
        <f>ROUND(+D20*E20,0)</f>
        <v>1278</v>
      </c>
      <c r="G20" s="2"/>
      <c r="H20" s="117">
        <f t="shared" si="0"/>
        <v>3834</v>
      </c>
      <c r="I20" s="117">
        <f t="shared" si="1"/>
        <v>0</v>
      </c>
      <c r="J20" s="11"/>
    </row>
    <row r="21" spans="2:10" x14ac:dyDescent="0.25">
      <c r="B21" s="104" t="s">
        <v>90</v>
      </c>
      <c r="C21" s="105">
        <v>44910</v>
      </c>
      <c r="D21" s="106">
        <f>+D19</f>
        <v>5112</v>
      </c>
      <c r="E21" s="107">
        <v>0.25</v>
      </c>
      <c r="F21" s="108">
        <f>ROUND(+D21*E21,0)</f>
        <v>1278</v>
      </c>
      <c r="G21" s="2"/>
      <c r="H21" s="117">
        <f t="shared" si="0"/>
        <v>5112</v>
      </c>
      <c r="I21" s="117">
        <f t="shared" si="1"/>
        <v>0</v>
      </c>
      <c r="J21" s="11"/>
    </row>
    <row r="22" spans="2:10" x14ac:dyDescent="0.25">
      <c r="B22" s="112" t="s">
        <v>295</v>
      </c>
      <c r="C22" s="113">
        <v>44926</v>
      </c>
      <c r="D22" s="114"/>
      <c r="E22" s="115"/>
      <c r="F22" s="116"/>
      <c r="G22" s="116">
        <f>+D4</f>
        <v>5661</v>
      </c>
      <c r="H22" s="117">
        <f t="shared" si="0"/>
        <v>0</v>
      </c>
      <c r="I22" s="117">
        <f t="shared" si="1"/>
        <v>549</v>
      </c>
    </row>
    <row r="23" spans="2:10" x14ac:dyDescent="0.25">
      <c r="I23" s="11"/>
    </row>
    <row r="24" spans="2:10" ht="12.75" customHeight="1" x14ac:dyDescent="0.25"/>
    <row r="26" spans="2:10" x14ac:dyDescent="0.25">
      <c r="B26" s="244" t="s">
        <v>292</v>
      </c>
      <c r="C26" s="244"/>
      <c r="D26" s="244"/>
      <c r="E26" s="204"/>
      <c r="F26" s="204"/>
    </row>
    <row r="27" spans="2:10" x14ac:dyDescent="0.25">
      <c r="D27" s="91" t="s">
        <v>92</v>
      </c>
      <c r="E27" s="91" t="s">
        <v>93</v>
      </c>
      <c r="F27" s="91" t="s">
        <v>94</v>
      </c>
      <c r="I27" s="155"/>
    </row>
    <row r="28" spans="2:10" x14ac:dyDescent="0.25">
      <c r="B28" s="80" t="s">
        <v>88</v>
      </c>
      <c r="C28" s="94">
        <v>45000</v>
      </c>
      <c r="D28" s="81">
        <f>+D21</f>
        <v>5112</v>
      </c>
      <c r="E28" s="82">
        <v>0.25</v>
      </c>
      <c r="F28" s="92">
        <f>ROUND(+D28*E28,0)</f>
        <v>1278</v>
      </c>
    </row>
    <row r="29" spans="2:10" x14ac:dyDescent="0.25">
      <c r="B29" s="83" t="s">
        <v>89</v>
      </c>
      <c r="C29" s="95">
        <v>45092</v>
      </c>
      <c r="D29" s="84"/>
      <c r="E29" s="85"/>
      <c r="F29" s="93">
        <f>+F31+F30</f>
        <v>1552</v>
      </c>
    </row>
    <row r="30" spans="2:10" x14ac:dyDescent="0.25">
      <c r="B30" s="78" t="s">
        <v>95</v>
      </c>
      <c r="C30" s="98"/>
      <c r="D30" s="86">
        <f>+D4</f>
        <v>5661</v>
      </c>
      <c r="E30" s="87">
        <v>0.25</v>
      </c>
      <c r="F30" s="96">
        <f>ROUND(+D30*E30,0)</f>
        <v>1415</v>
      </c>
    </row>
    <row r="31" spans="2:10" x14ac:dyDescent="0.25">
      <c r="B31" s="88" t="s">
        <v>96</v>
      </c>
      <c r="C31" s="99"/>
      <c r="D31" s="89"/>
      <c r="E31" s="90"/>
      <c r="F31" s="97">
        <f>+F30-F28</f>
        <v>137</v>
      </c>
    </row>
    <row r="32" spans="2:10" x14ac:dyDescent="0.25">
      <c r="B32" s="80" t="s">
        <v>90</v>
      </c>
      <c r="C32" s="94">
        <v>45092</v>
      </c>
      <c r="D32" s="81">
        <f>+D30</f>
        <v>5661</v>
      </c>
      <c r="E32" s="82">
        <f>+E30</f>
        <v>0.25</v>
      </c>
      <c r="F32" s="92">
        <f>ROUND(+D32*E32,0)</f>
        <v>1415</v>
      </c>
    </row>
    <row r="33" spans="2:6" x14ac:dyDescent="0.25">
      <c r="B33" s="80" t="s">
        <v>91</v>
      </c>
      <c r="C33" s="94">
        <v>45275</v>
      </c>
      <c r="D33" s="81">
        <f>+D32</f>
        <v>5661</v>
      </c>
      <c r="E33" s="82">
        <f>+E32</f>
        <v>0.25</v>
      </c>
      <c r="F33" s="92">
        <f>ROUND(+D33*E33,0)</f>
        <v>1415</v>
      </c>
    </row>
    <row r="34" spans="2:6" x14ac:dyDescent="0.25">
      <c r="B34" s="245" t="s">
        <v>218</v>
      </c>
      <c r="C34" s="246"/>
      <c r="D34" s="246"/>
      <c r="E34" s="247"/>
      <c r="F34" s="177">
        <f>+F28+F29+F32+F33</f>
        <v>5660</v>
      </c>
    </row>
  </sheetData>
  <mergeCells count="4">
    <mergeCell ref="B1:D1"/>
    <mergeCell ref="B14:D14"/>
    <mergeCell ref="B26:D26"/>
    <mergeCell ref="B34:E34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/>
    <pageSetUpPr fitToPage="1"/>
  </sheetPr>
  <dimension ref="A3:F45"/>
  <sheetViews>
    <sheetView workbookViewId="0">
      <selection activeCell="A26" sqref="A26:F26"/>
    </sheetView>
  </sheetViews>
  <sheetFormatPr baseColWidth="10" defaultColWidth="17.5" defaultRowHeight="15" x14ac:dyDescent="0.2"/>
  <cols>
    <col min="1" max="1" width="30.875" style="1" customWidth="1"/>
    <col min="2" max="2" width="20.125" style="1" customWidth="1"/>
    <col min="3" max="4" width="17.5" style="1"/>
    <col min="5" max="5" width="17.5" style="208"/>
    <col min="6" max="6" width="20.125" style="1" customWidth="1"/>
    <col min="7" max="16384" width="17.5" style="1"/>
  </cols>
  <sheetData>
    <row r="3" spans="1:6" ht="15.75" x14ac:dyDescent="0.25">
      <c r="A3" s="244" t="s">
        <v>235</v>
      </c>
      <c r="B3" s="244"/>
      <c r="C3" s="244"/>
      <c r="D3" s="244"/>
      <c r="E3" s="244"/>
      <c r="F3" s="244"/>
    </row>
    <row r="5" spans="1:6" ht="15.75" x14ac:dyDescent="0.25">
      <c r="A5" s="211" t="s">
        <v>275</v>
      </c>
      <c r="B5" s="248" t="s">
        <v>227</v>
      </c>
      <c r="C5" s="248"/>
      <c r="D5" s="74" t="s">
        <v>219</v>
      </c>
      <c r="E5" s="44" t="s">
        <v>220</v>
      </c>
      <c r="F5" s="74" t="s">
        <v>234</v>
      </c>
    </row>
    <row r="6" spans="1:6" x14ac:dyDescent="0.2">
      <c r="A6" s="2" t="s">
        <v>221</v>
      </c>
      <c r="B6" s="179" t="s">
        <v>226</v>
      </c>
      <c r="C6" s="179" t="s">
        <v>222</v>
      </c>
      <c r="D6" s="178" t="s">
        <v>223</v>
      </c>
      <c r="E6" s="7">
        <v>109743.03999999999</v>
      </c>
      <c r="F6" s="181" t="s">
        <v>238</v>
      </c>
    </row>
    <row r="7" spans="1:6" x14ac:dyDescent="0.2">
      <c r="A7" s="182" t="s">
        <v>228</v>
      </c>
      <c r="B7" s="179" t="s">
        <v>226</v>
      </c>
      <c r="C7" s="179" t="s">
        <v>222</v>
      </c>
      <c r="D7" s="179" t="s">
        <v>237</v>
      </c>
      <c r="E7" s="207">
        <v>17677.439999999999</v>
      </c>
      <c r="F7" s="181" t="s">
        <v>238</v>
      </c>
    </row>
    <row r="8" spans="1:6" x14ac:dyDescent="0.2">
      <c r="A8" s="182" t="s">
        <v>236</v>
      </c>
      <c r="B8" s="179" t="s">
        <v>226</v>
      </c>
      <c r="C8" s="179" t="s">
        <v>222</v>
      </c>
      <c r="D8" s="179"/>
      <c r="E8" s="207">
        <v>92065.600000000006</v>
      </c>
      <c r="F8" s="181" t="s">
        <v>238</v>
      </c>
    </row>
    <row r="9" spans="1:6" x14ac:dyDescent="0.2">
      <c r="A9" s="2" t="s">
        <v>224</v>
      </c>
      <c r="B9" s="179" t="s">
        <v>226</v>
      </c>
      <c r="C9" s="179" t="s">
        <v>225</v>
      </c>
      <c r="D9" s="178" t="s">
        <v>254</v>
      </c>
      <c r="E9" s="7">
        <v>15521.42</v>
      </c>
      <c r="F9" s="210" t="s">
        <v>274</v>
      </c>
    </row>
    <row r="10" spans="1:6" x14ac:dyDescent="0.2">
      <c r="A10" s="209" t="s">
        <v>255</v>
      </c>
      <c r="B10" s="179" t="s">
        <v>257</v>
      </c>
      <c r="C10" s="179" t="s">
        <v>222</v>
      </c>
      <c r="D10" s="178" t="s">
        <v>259</v>
      </c>
      <c r="E10" s="7">
        <v>38478.160000000003</v>
      </c>
      <c r="F10" s="181" t="s">
        <v>258</v>
      </c>
    </row>
    <row r="11" spans="1:6" x14ac:dyDescent="0.2">
      <c r="A11" s="209" t="s">
        <v>256</v>
      </c>
      <c r="B11" s="179" t="s">
        <v>257</v>
      </c>
      <c r="C11" s="179" t="s">
        <v>222</v>
      </c>
      <c r="D11" s="179" t="s">
        <v>260</v>
      </c>
      <c r="E11" s="207">
        <v>1247</v>
      </c>
      <c r="F11" s="181" t="s">
        <v>258</v>
      </c>
    </row>
    <row r="12" spans="1:6" x14ac:dyDescent="0.2">
      <c r="B12" s="180"/>
      <c r="C12" s="180"/>
      <c r="D12" s="3"/>
      <c r="E12" s="4"/>
      <c r="F12" s="3"/>
    </row>
    <row r="13" spans="1:6" ht="15.75" x14ac:dyDescent="0.25">
      <c r="A13" s="211" t="s">
        <v>229</v>
      </c>
      <c r="B13" s="248" t="s">
        <v>227</v>
      </c>
      <c r="C13" s="248"/>
      <c r="D13" s="74" t="s">
        <v>219</v>
      </c>
      <c r="E13" s="44" t="s">
        <v>220</v>
      </c>
      <c r="F13" s="74" t="s">
        <v>234</v>
      </c>
    </row>
    <row r="14" spans="1:6" x14ac:dyDescent="0.2">
      <c r="A14" s="2" t="s">
        <v>230</v>
      </c>
      <c r="B14" s="179" t="s">
        <v>231</v>
      </c>
      <c r="C14" s="179" t="s">
        <v>225</v>
      </c>
      <c r="D14" s="178">
        <v>416</v>
      </c>
      <c r="E14" s="207">
        <v>12784</v>
      </c>
      <c r="F14" s="181" t="s">
        <v>238</v>
      </c>
    </row>
    <row r="15" spans="1:6" x14ac:dyDescent="0.2">
      <c r="A15" s="2" t="s">
        <v>261</v>
      </c>
      <c r="B15" s="179" t="s">
        <v>231</v>
      </c>
      <c r="C15" s="179" t="s">
        <v>222</v>
      </c>
      <c r="D15" s="178" t="s">
        <v>262</v>
      </c>
      <c r="E15" s="207">
        <v>5714.67</v>
      </c>
      <c r="F15" s="181" t="s">
        <v>238</v>
      </c>
    </row>
    <row r="16" spans="1:6" x14ac:dyDescent="0.2">
      <c r="A16" s="2" t="s">
        <v>263</v>
      </c>
      <c r="B16" s="179" t="s">
        <v>231</v>
      </c>
      <c r="C16" s="179" t="s">
        <v>225</v>
      </c>
      <c r="D16" s="178">
        <v>68174</v>
      </c>
      <c r="E16" s="207">
        <v>4998</v>
      </c>
      <c r="F16" s="181" t="s">
        <v>238</v>
      </c>
    </row>
    <row r="17" spans="1:6" x14ac:dyDescent="0.2">
      <c r="B17" s="180"/>
      <c r="C17" s="180"/>
      <c r="D17" s="180"/>
    </row>
    <row r="18" spans="1:6" ht="15.75" x14ac:dyDescent="0.25">
      <c r="A18" s="211" t="s">
        <v>276</v>
      </c>
      <c r="B18" s="248" t="s">
        <v>227</v>
      </c>
      <c r="C18" s="248"/>
      <c r="D18" s="74" t="s">
        <v>219</v>
      </c>
      <c r="E18" s="44" t="s">
        <v>220</v>
      </c>
      <c r="F18" s="74" t="s">
        <v>234</v>
      </c>
    </row>
    <row r="19" spans="1:6" x14ac:dyDescent="0.2">
      <c r="A19" s="2" t="s">
        <v>233</v>
      </c>
      <c r="B19" s="179" t="s">
        <v>225</v>
      </c>
      <c r="C19" s="179" t="s">
        <v>222</v>
      </c>
      <c r="D19" s="179" t="s">
        <v>264</v>
      </c>
      <c r="E19" s="76">
        <v>35120.949999999997</v>
      </c>
      <c r="F19" s="181" t="s">
        <v>238</v>
      </c>
    </row>
    <row r="20" spans="1:6" x14ac:dyDescent="0.2">
      <c r="A20" s="2" t="s">
        <v>270</v>
      </c>
      <c r="B20" s="179" t="s">
        <v>272</v>
      </c>
      <c r="C20" s="179" t="s">
        <v>222</v>
      </c>
      <c r="D20" s="179" t="s">
        <v>273</v>
      </c>
      <c r="E20" s="76">
        <v>35120.949999999997</v>
      </c>
      <c r="F20" s="181" t="s">
        <v>238</v>
      </c>
    </row>
    <row r="21" spans="1:6" x14ac:dyDescent="0.2">
      <c r="A21" s="2" t="s">
        <v>267</v>
      </c>
      <c r="B21" s="179" t="s">
        <v>268</v>
      </c>
      <c r="C21" s="179" t="s">
        <v>222</v>
      </c>
      <c r="D21" s="179" t="s">
        <v>269</v>
      </c>
      <c r="E21" s="76">
        <v>35341.360000000001</v>
      </c>
      <c r="F21" s="181" t="s">
        <v>238</v>
      </c>
    </row>
    <row r="22" spans="1:6" x14ac:dyDescent="0.2">
      <c r="A22" s="2" t="s">
        <v>265</v>
      </c>
      <c r="B22" s="179" t="s">
        <v>225</v>
      </c>
      <c r="C22" s="179"/>
      <c r="D22" s="179">
        <v>471</v>
      </c>
      <c r="E22" s="207">
        <v>0</v>
      </c>
      <c r="F22" s="209" t="s">
        <v>266</v>
      </c>
    </row>
    <row r="23" spans="1:6" x14ac:dyDescent="0.2">
      <c r="A23" s="2" t="s">
        <v>232</v>
      </c>
      <c r="B23" s="179" t="s">
        <v>222</v>
      </c>
      <c r="C23" s="179" t="s">
        <v>222</v>
      </c>
      <c r="D23" s="179" t="s">
        <v>271</v>
      </c>
      <c r="E23" s="207">
        <v>182522.91</v>
      </c>
      <c r="F23" s="181" t="s">
        <v>238</v>
      </c>
    </row>
    <row r="26" spans="1:6" ht="15.75" x14ac:dyDescent="0.25">
      <c r="A26" s="244" t="s">
        <v>235</v>
      </c>
      <c r="B26" s="244"/>
      <c r="C26" s="244"/>
      <c r="D26" s="244"/>
      <c r="E26" s="244"/>
      <c r="F26" s="244"/>
    </row>
    <row r="27" spans="1:6" ht="15.75" x14ac:dyDescent="0.25">
      <c r="A27" s="211" t="s">
        <v>275</v>
      </c>
      <c r="B27" s="248" t="s">
        <v>227</v>
      </c>
      <c r="C27" s="248"/>
      <c r="D27" s="74" t="s">
        <v>219</v>
      </c>
      <c r="E27" s="44" t="s">
        <v>220</v>
      </c>
      <c r="F27" s="74" t="s">
        <v>234</v>
      </c>
    </row>
    <row r="28" spans="1:6" x14ac:dyDescent="0.2">
      <c r="A28" s="2" t="s">
        <v>221</v>
      </c>
      <c r="B28" s="179" t="s">
        <v>226</v>
      </c>
      <c r="C28" s="179" t="s">
        <v>222</v>
      </c>
      <c r="D28" s="178" t="s">
        <v>223</v>
      </c>
      <c r="E28" s="7">
        <v>109743.03999999999</v>
      </c>
      <c r="F28" s="181" t="s">
        <v>238</v>
      </c>
    </row>
    <row r="29" spans="1:6" x14ac:dyDescent="0.2">
      <c r="A29" s="182" t="s">
        <v>228</v>
      </c>
      <c r="B29" s="179"/>
      <c r="C29" s="179"/>
      <c r="D29" s="179"/>
      <c r="E29" s="207"/>
      <c r="F29" s="181"/>
    </row>
    <row r="30" spans="1:6" x14ac:dyDescent="0.2">
      <c r="A30" s="182" t="s">
        <v>236</v>
      </c>
      <c r="B30" s="179"/>
      <c r="C30" s="179"/>
      <c r="D30" s="179"/>
      <c r="E30" s="207"/>
      <c r="F30" s="181"/>
    </row>
    <row r="31" spans="1:6" x14ac:dyDescent="0.2">
      <c r="A31" s="2" t="s">
        <v>224</v>
      </c>
      <c r="B31" s="179" t="s">
        <v>226</v>
      </c>
      <c r="C31" s="179" t="s">
        <v>225</v>
      </c>
      <c r="D31" s="178"/>
      <c r="E31" s="7"/>
      <c r="F31" s="210"/>
    </row>
    <row r="32" spans="1:6" x14ac:dyDescent="0.2">
      <c r="A32" s="209" t="s">
        <v>255</v>
      </c>
      <c r="B32" s="179"/>
      <c r="C32" s="179"/>
      <c r="D32" s="178"/>
      <c r="E32" s="7"/>
      <c r="F32" s="181"/>
    </row>
    <row r="33" spans="1:6" x14ac:dyDescent="0.2">
      <c r="A33" s="209" t="s">
        <v>256</v>
      </c>
      <c r="B33" s="179"/>
      <c r="C33" s="179"/>
      <c r="D33" s="179"/>
      <c r="E33" s="207"/>
      <c r="F33" s="181"/>
    </row>
    <row r="34" spans="1:6" x14ac:dyDescent="0.2">
      <c r="B34" s="180"/>
      <c r="C34" s="180"/>
      <c r="D34" s="3"/>
      <c r="E34" s="4"/>
      <c r="F34" s="3"/>
    </row>
    <row r="35" spans="1:6" ht="15.75" x14ac:dyDescent="0.25">
      <c r="A35" s="211" t="s">
        <v>229</v>
      </c>
      <c r="B35" s="248" t="s">
        <v>227</v>
      </c>
      <c r="C35" s="248"/>
      <c r="D35" s="74" t="s">
        <v>219</v>
      </c>
      <c r="E35" s="44" t="s">
        <v>220</v>
      </c>
      <c r="F35" s="74" t="s">
        <v>234</v>
      </c>
    </row>
    <row r="36" spans="1:6" x14ac:dyDescent="0.2">
      <c r="A36" s="2" t="s">
        <v>230</v>
      </c>
      <c r="B36" s="179"/>
      <c r="C36" s="179"/>
      <c r="D36" s="178"/>
      <c r="E36" s="207"/>
      <c r="F36" s="181"/>
    </row>
    <row r="37" spans="1:6" x14ac:dyDescent="0.2">
      <c r="A37" s="2" t="s">
        <v>261</v>
      </c>
      <c r="B37" s="179"/>
      <c r="C37" s="179"/>
      <c r="D37" s="178"/>
      <c r="E37" s="207"/>
      <c r="F37" s="181"/>
    </row>
    <row r="38" spans="1:6" x14ac:dyDescent="0.2">
      <c r="A38" s="2" t="s">
        <v>263</v>
      </c>
      <c r="B38" s="179"/>
      <c r="C38" s="179"/>
      <c r="D38" s="178"/>
      <c r="E38" s="207"/>
      <c r="F38" s="181"/>
    </row>
    <row r="39" spans="1:6" x14ac:dyDescent="0.2">
      <c r="B39" s="180"/>
      <c r="C39" s="180"/>
      <c r="D39" s="180"/>
    </row>
    <row r="40" spans="1:6" ht="15.75" x14ac:dyDescent="0.25">
      <c r="A40" s="211" t="s">
        <v>276</v>
      </c>
      <c r="B40" s="248" t="s">
        <v>227</v>
      </c>
      <c r="C40" s="248"/>
      <c r="D40" s="74" t="s">
        <v>219</v>
      </c>
      <c r="E40" s="44" t="s">
        <v>220</v>
      </c>
      <c r="F40" s="74" t="s">
        <v>234</v>
      </c>
    </row>
    <row r="41" spans="1:6" x14ac:dyDescent="0.2">
      <c r="A41" s="2" t="s">
        <v>233</v>
      </c>
      <c r="B41" s="179"/>
      <c r="C41" s="179"/>
      <c r="D41" s="179"/>
      <c r="E41" s="76"/>
      <c r="F41" s="181"/>
    </row>
    <row r="42" spans="1:6" x14ac:dyDescent="0.2">
      <c r="A42" s="2" t="s">
        <v>270</v>
      </c>
      <c r="B42" s="179"/>
      <c r="C42" s="179"/>
      <c r="D42" s="179"/>
      <c r="E42" s="76"/>
      <c r="F42" s="181"/>
    </row>
    <row r="43" spans="1:6" x14ac:dyDescent="0.2">
      <c r="A43" s="2" t="s">
        <v>267</v>
      </c>
      <c r="B43" s="179"/>
      <c r="C43" s="179"/>
      <c r="D43" s="179"/>
      <c r="E43" s="76"/>
      <c r="F43" s="181"/>
    </row>
    <row r="44" spans="1:6" x14ac:dyDescent="0.2">
      <c r="A44" s="2" t="s">
        <v>265</v>
      </c>
      <c r="B44" s="179"/>
      <c r="C44" s="179"/>
      <c r="D44" s="179"/>
      <c r="E44" s="207"/>
      <c r="F44" s="209"/>
    </row>
    <row r="45" spans="1:6" x14ac:dyDescent="0.2">
      <c r="A45" s="2" t="s">
        <v>232</v>
      </c>
      <c r="B45" s="179"/>
      <c r="C45" s="179"/>
      <c r="D45" s="179"/>
      <c r="E45" s="207"/>
      <c r="F45" s="181"/>
    </row>
  </sheetData>
  <mergeCells count="8">
    <mergeCell ref="A3:F3"/>
    <mergeCell ref="A26:F26"/>
    <mergeCell ref="B27:C27"/>
    <mergeCell ref="B35:C35"/>
    <mergeCell ref="B40:C40"/>
    <mergeCell ref="B5:C5"/>
    <mergeCell ref="B13:C13"/>
    <mergeCell ref="B18:C1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24"/>
  <sheetViews>
    <sheetView workbookViewId="0">
      <selection activeCell="B4" sqref="B4"/>
    </sheetView>
  </sheetViews>
  <sheetFormatPr baseColWidth="10" defaultColWidth="11" defaultRowHeight="15" x14ac:dyDescent="0.25"/>
  <cols>
    <col min="1" max="1" width="26.125" style="184" customWidth="1"/>
    <col min="2" max="2" width="12.875" style="184" bestFit="1" customWidth="1"/>
    <col min="3" max="3" width="11.375" style="184" bestFit="1" customWidth="1"/>
    <col min="4" max="4" width="12.875" style="184" bestFit="1" customWidth="1"/>
    <col min="5" max="5" width="11.25" style="184"/>
    <col min="6" max="6" width="8.625" style="185" customWidth="1"/>
    <col min="7" max="7" width="24.25" style="185" customWidth="1"/>
    <col min="8" max="9" width="11.625" style="185" bestFit="1" customWidth="1"/>
    <col min="10" max="16384" width="11" style="185"/>
  </cols>
  <sheetData>
    <row r="1" spans="1:9" ht="15" customHeight="1" x14ac:dyDescent="0.25">
      <c r="F1" s="244" t="s">
        <v>249</v>
      </c>
      <c r="G1" s="244"/>
      <c r="H1" s="244"/>
      <c r="I1" s="244"/>
    </row>
    <row r="2" spans="1:9" ht="15.75" x14ac:dyDescent="0.25">
      <c r="A2" s="244" t="s">
        <v>110</v>
      </c>
      <c r="B2" s="244"/>
      <c r="F2" s="201" t="s">
        <v>251</v>
      </c>
      <c r="G2" s="201" t="s">
        <v>252</v>
      </c>
      <c r="H2" s="201" t="s">
        <v>244</v>
      </c>
      <c r="I2" s="201" t="s">
        <v>245</v>
      </c>
    </row>
    <row r="3" spans="1:9" x14ac:dyDescent="0.25">
      <c r="A3" s="184" t="s">
        <v>111</v>
      </c>
      <c r="B3" s="186">
        <f>+IS!D7</f>
        <v>32078.760000000002</v>
      </c>
      <c r="F3" s="192">
        <v>12</v>
      </c>
      <c r="G3" s="192" t="s">
        <v>250</v>
      </c>
      <c r="H3" s="198">
        <f>+B3</f>
        <v>32078.760000000002</v>
      </c>
      <c r="I3" s="198"/>
    </row>
    <row r="4" spans="1:9" x14ac:dyDescent="0.25">
      <c r="A4" s="184" t="s">
        <v>72</v>
      </c>
      <c r="B4" s="186">
        <f>-B3*5%</f>
        <v>-1603.9380000000001</v>
      </c>
      <c r="F4" s="192">
        <v>1061</v>
      </c>
      <c r="G4" s="192"/>
      <c r="H4" s="198"/>
      <c r="I4" s="198">
        <f>-B4</f>
        <v>1603.9380000000001</v>
      </c>
    </row>
    <row r="5" spans="1:9" x14ac:dyDescent="0.25">
      <c r="A5" s="187" t="s">
        <v>112</v>
      </c>
      <c r="B5" s="188">
        <f>+B3+B4</f>
        <v>30474.822</v>
      </c>
      <c r="F5" s="192">
        <v>1068</v>
      </c>
      <c r="G5" s="192"/>
      <c r="H5" s="198"/>
      <c r="I5" s="198">
        <f>-B7</f>
        <v>10000</v>
      </c>
    </row>
    <row r="6" spans="1:9" x14ac:dyDescent="0.25">
      <c r="A6" s="184" t="s">
        <v>114</v>
      </c>
      <c r="B6" s="186">
        <f>-6%*50*800</f>
        <v>-2400</v>
      </c>
      <c r="C6" s="189" t="s">
        <v>115</v>
      </c>
      <c r="F6" s="192">
        <v>4571</v>
      </c>
      <c r="G6" s="192" t="s">
        <v>246</v>
      </c>
      <c r="H6" s="198"/>
      <c r="I6" s="198">
        <f>+D20</f>
        <v>13750</v>
      </c>
    </row>
    <row r="7" spans="1:9" x14ac:dyDescent="0.25">
      <c r="A7" s="184" t="s">
        <v>113</v>
      </c>
      <c r="B7" s="186">
        <v>-10000</v>
      </c>
      <c r="F7" s="192">
        <v>4572</v>
      </c>
      <c r="G7" s="192" t="s">
        <v>247</v>
      </c>
      <c r="H7" s="198"/>
      <c r="I7" s="198">
        <f t="shared" ref="I7:I8" si="0">+D21</f>
        <v>3750</v>
      </c>
    </row>
    <row r="8" spans="1:9" x14ac:dyDescent="0.25">
      <c r="A8" s="187" t="s">
        <v>116</v>
      </c>
      <c r="B8" s="188">
        <f>SUM(B5:B7)</f>
        <v>18074.822</v>
      </c>
      <c r="F8" s="192">
        <v>4573</v>
      </c>
      <c r="G8" s="192" t="s">
        <v>248</v>
      </c>
      <c r="H8" s="198"/>
      <c r="I8" s="198">
        <f t="shared" si="0"/>
        <v>2500</v>
      </c>
    </row>
    <row r="9" spans="1:9" x14ac:dyDescent="0.25">
      <c r="A9" s="184" t="s">
        <v>117</v>
      </c>
      <c r="B9" s="186">
        <f>+C9*800</f>
        <v>17600</v>
      </c>
      <c r="C9" s="186">
        <f>ROUNDDOWN(B8/800,0)</f>
        <v>22</v>
      </c>
      <c r="D9" s="184" t="s">
        <v>212</v>
      </c>
      <c r="F9" s="192">
        <v>110</v>
      </c>
      <c r="G9" s="192"/>
      <c r="H9" s="198"/>
      <c r="I9" s="198">
        <f>+B10</f>
        <v>474.82200000000012</v>
      </c>
    </row>
    <row r="10" spans="1:9" x14ac:dyDescent="0.25">
      <c r="A10" s="187" t="s">
        <v>71</v>
      </c>
      <c r="B10" s="188">
        <f>+B8-B9</f>
        <v>474.82200000000012</v>
      </c>
      <c r="F10" s="184"/>
      <c r="G10" s="202" t="s">
        <v>253</v>
      </c>
      <c r="H10" s="203">
        <f>SUM(H3:H9)</f>
        <v>32078.760000000002</v>
      </c>
      <c r="I10" s="203">
        <f>SUM(I3:I9)</f>
        <v>32078.760000000002</v>
      </c>
    </row>
    <row r="11" spans="1:9" x14ac:dyDescent="0.25">
      <c r="A11" s="186"/>
      <c r="B11" s="186"/>
    </row>
    <row r="12" spans="1:9" ht="15" customHeight="1" x14ac:dyDescent="0.25">
      <c r="A12" s="244" t="s">
        <v>243</v>
      </c>
      <c r="B12" s="244"/>
      <c r="C12" s="190" t="s">
        <v>213</v>
      </c>
      <c r="D12" s="191" t="s">
        <v>0</v>
      </c>
      <c r="E12" s="191" t="s">
        <v>94</v>
      </c>
    </row>
    <row r="13" spans="1:9" x14ac:dyDescent="0.25">
      <c r="A13" s="250" t="s">
        <v>214</v>
      </c>
      <c r="B13" s="250"/>
      <c r="C13" s="192">
        <v>800</v>
      </c>
      <c r="D13" s="193">
        <f>+E13/C13</f>
        <v>3</v>
      </c>
      <c r="E13" s="194">
        <f>-B6</f>
        <v>2400</v>
      </c>
    </row>
    <row r="14" spans="1:9" x14ac:dyDescent="0.25">
      <c r="A14" s="250" t="s">
        <v>215</v>
      </c>
      <c r="B14" s="250"/>
      <c r="C14" s="195">
        <f>+C13</f>
        <v>800</v>
      </c>
      <c r="D14" s="193">
        <f>+E14/C14</f>
        <v>22</v>
      </c>
      <c r="E14" s="194">
        <f>+B9</f>
        <v>17600</v>
      </c>
    </row>
    <row r="15" spans="1:9" x14ac:dyDescent="0.25">
      <c r="A15" s="249" t="s">
        <v>216</v>
      </c>
      <c r="B15" s="249"/>
      <c r="C15" s="196">
        <f>+C14</f>
        <v>800</v>
      </c>
      <c r="D15" s="199">
        <f>+E15/C15</f>
        <v>25</v>
      </c>
      <c r="E15" s="197">
        <f>SUM(E13:E14)</f>
        <v>20000</v>
      </c>
    </row>
    <row r="17" spans="1:4" x14ac:dyDescent="0.25">
      <c r="B17" s="186"/>
    </row>
    <row r="18" spans="1:4" ht="15.75" x14ac:dyDescent="0.25">
      <c r="A18" s="244" t="s">
        <v>242</v>
      </c>
      <c r="B18" s="244"/>
      <c r="C18" s="244"/>
      <c r="D18" s="244"/>
    </row>
    <row r="19" spans="1:4" x14ac:dyDescent="0.25">
      <c r="B19" s="186" t="s">
        <v>239</v>
      </c>
      <c r="C19" s="184" t="s">
        <v>240</v>
      </c>
      <c r="D19" s="184" t="s">
        <v>241</v>
      </c>
    </row>
    <row r="20" spans="1:4" x14ac:dyDescent="0.25">
      <c r="A20" s="200" t="s">
        <v>246</v>
      </c>
      <c r="B20" s="183">
        <v>550</v>
      </c>
      <c r="C20" s="198">
        <f>+D15</f>
        <v>25</v>
      </c>
      <c r="D20" s="198">
        <f>+B20*C20</f>
        <v>13750</v>
      </c>
    </row>
    <row r="21" spans="1:4" x14ac:dyDescent="0.25">
      <c r="A21" s="200" t="s">
        <v>247</v>
      </c>
      <c r="B21" s="183">
        <v>150</v>
      </c>
      <c r="C21" s="198">
        <f>+C20</f>
        <v>25</v>
      </c>
      <c r="D21" s="198">
        <f t="shared" ref="D21:D22" si="1">+B21*C21</f>
        <v>3750</v>
      </c>
    </row>
    <row r="22" spans="1:4" x14ac:dyDescent="0.25">
      <c r="A22" s="200" t="s">
        <v>248</v>
      </c>
      <c r="B22" s="183">
        <v>100</v>
      </c>
      <c r="C22" s="198">
        <f>+C21</f>
        <v>25</v>
      </c>
      <c r="D22" s="198">
        <f t="shared" si="1"/>
        <v>2500</v>
      </c>
    </row>
    <row r="23" spans="1:4" x14ac:dyDescent="0.25">
      <c r="A23" s="192"/>
      <c r="B23" s="194"/>
      <c r="C23" s="198"/>
      <c r="D23" s="198">
        <f>SUM(D20:D22)</f>
        <v>20000</v>
      </c>
    </row>
    <row r="24" spans="1:4" x14ac:dyDescent="0.25">
      <c r="B24" s="186"/>
    </row>
  </sheetData>
  <mergeCells count="7">
    <mergeCell ref="F1:I1"/>
    <mergeCell ref="A18:D18"/>
    <mergeCell ref="A2:B2"/>
    <mergeCell ref="A15:B15"/>
    <mergeCell ref="A14:B14"/>
    <mergeCell ref="A13:B13"/>
    <mergeCell ref="A12:B12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</vt:i4>
      </vt:variant>
    </vt:vector>
  </HeadingPairs>
  <TitlesOfParts>
    <vt:vector size="9" baseType="lpstr">
      <vt:lpstr>balance avant inventaire</vt:lpstr>
      <vt:lpstr>Corrigé ecritures inventaire</vt:lpstr>
      <vt:lpstr>Corrigé Immobilisations</vt:lpstr>
      <vt:lpstr>Créances douteuses (prof)</vt:lpstr>
      <vt:lpstr>IS</vt:lpstr>
      <vt:lpstr>Contrôle Bilan-cpte Rt-</vt:lpstr>
      <vt:lpstr>Affectation du résultat</vt:lpstr>
      <vt:lpstr>'Corrigé ecritures inventaire'!Zone_d_impression</vt:lpstr>
      <vt:lpstr>'Créances douteuses (prof)'!Zone_d_impression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MINIER</dc:creator>
  <cp:lastModifiedBy>Utilisateur Windows</cp:lastModifiedBy>
  <cp:lastPrinted>2023-01-18T12:35:42Z</cp:lastPrinted>
  <dcterms:created xsi:type="dcterms:W3CDTF">1997-12-16T21:59:41Z</dcterms:created>
  <dcterms:modified xsi:type="dcterms:W3CDTF">2023-01-18T15:16:16Z</dcterms:modified>
</cp:coreProperties>
</file>