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4400" yWindow="-15" windowWidth="14445" windowHeight="11760" tabRatio="731" firstSheet="1" activeTab="5"/>
  </bookViews>
  <sheets>
    <sheet name="1. Emprunt (prof)" sheetId="15" r:id="rId1"/>
    <sheet name="2. Immobilisations (Prof)" sheetId="14" r:id="rId2"/>
    <sheet name="Créances douteuses (prof)" sheetId="22" r:id="rId3"/>
    <sheet name="IS et Affectation Résultat" sheetId="23" r:id="rId4"/>
    <sheet name="Feuil1" sheetId="24" r:id="rId5"/>
    <sheet name="Corrigé ecritures inventaire" sheetId="25" r:id="rId6"/>
  </sheets>
  <definedNames>
    <definedName name="_bff01">#REF!</definedName>
    <definedName name="_ter01">#REF!</definedName>
    <definedName name="BFF">#REF!</definedName>
    <definedName name="BilFF">#REF!</definedName>
    <definedName name="BilFFin">#REF!</definedName>
    <definedName name="tabER">#REF!</definedName>
    <definedName name="tabERes">#REF!</definedName>
    <definedName name="TabSIG">#REF!</definedName>
    <definedName name="tabSIGes">#REF!</definedName>
    <definedName name="TER">#REF!</definedName>
    <definedName name="TSIG">#REF!</definedName>
    <definedName name="wrn.CGM." hidden="1">{#N/A,#N/A,FALSE,"ACTIF_95";#N/A,#N/A,FALSE,"PASSIF_95";#N/A,#N/A,FALSE,"RESULTAT_95";#N/A,#N/A,FALSE,"RESULTAT1_95";#N/A,#N/A,FALSE,"RESULTAT_96";#N/A,#N/A,FALSE,"RESULTAT1_96";#N/A,#N/A,FALSE,"ACTIF_96";#N/A,#N/A,FALSE,"PASSIF_96";#N/A,#N/A,FALSE,"SIG_95_96";#N/A,#N/A,FALSE,"BILAN_FONCT 95_96";#N/A,#N/A,FALSE,"MODE_FIN"}</definedName>
    <definedName name="_xlnm.Print_Area" localSheetId="5">'Corrigé ecritures inventaire'!$A$1:$F$87</definedName>
    <definedName name="_xlnm.Print_Area" localSheetId="2">'Créances douteuses (prof)'!$A$1:$M$13</definedName>
  </definedNames>
  <calcPr calcId="124519"/>
</workbook>
</file>

<file path=xl/calcChain.xml><?xml version="1.0" encoding="utf-8"?>
<calcChain xmlns="http://schemas.openxmlformats.org/spreadsheetml/2006/main">
  <c r="M14" i="23"/>
  <c r="M15" s="1"/>
  <c r="E64" i="25"/>
  <c r="F65" s="1"/>
  <c r="E26"/>
  <c r="F27" s="1"/>
  <c r="E22"/>
  <c r="F23" s="1"/>
  <c r="E20"/>
  <c r="F21" s="1"/>
  <c r="F8" s="1"/>
  <c r="E18"/>
  <c r="E14"/>
  <c r="F87" l="1"/>
  <c r="E7"/>
  <c r="E87" s="1"/>
  <c r="D3" i="23" l="1"/>
  <c r="J9" i="14" l="1"/>
  <c r="J18"/>
  <c r="J14"/>
  <c r="A17" i="15"/>
  <c r="A16"/>
  <c r="A12"/>
  <c r="D6" i="23" l="1"/>
  <c r="L6" l="1"/>
  <c r="O13" s="1"/>
  <c r="N13" l="1"/>
  <c r="E31"/>
  <c r="E32" s="1"/>
  <c r="D5"/>
  <c r="D4" s="1"/>
  <c r="C6"/>
  <c r="C5"/>
  <c r="M9" i="14"/>
  <c r="L10"/>
  <c r="K10"/>
  <c r="G10"/>
  <c r="F10"/>
  <c r="E10"/>
  <c r="H9"/>
  <c r="O9" s="1"/>
  <c r="D7" i="23" l="1"/>
  <c r="L3" s="1"/>
  <c r="L4" s="1"/>
  <c r="L5" s="1"/>
  <c r="L8" s="1"/>
  <c r="G22"/>
  <c r="D29"/>
  <c r="C4"/>
  <c r="C7" s="1"/>
  <c r="E35" i="14"/>
  <c r="F15" s="1"/>
  <c r="F16" s="1"/>
  <c r="O33"/>
  <c r="O25"/>
  <c r="L25"/>
  <c r="K25"/>
  <c r="G25"/>
  <c r="F25"/>
  <c r="E25"/>
  <c r="J24"/>
  <c r="I24"/>
  <c r="H24"/>
  <c r="J23"/>
  <c r="I23"/>
  <c r="H23"/>
  <c r="O22"/>
  <c r="L22"/>
  <c r="K22"/>
  <c r="G22"/>
  <c r="F22"/>
  <c r="E22"/>
  <c r="J21"/>
  <c r="I21"/>
  <c r="H21"/>
  <c r="J20"/>
  <c r="I20"/>
  <c r="H20"/>
  <c r="O19"/>
  <c r="K19"/>
  <c r="G19"/>
  <c r="F19"/>
  <c r="E19"/>
  <c r="I18"/>
  <c r="M18" s="1"/>
  <c r="H18"/>
  <c r="J17"/>
  <c r="I17"/>
  <c r="H17"/>
  <c r="O16"/>
  <c r="G16"/>
  <c r="E16"/>
  <c r="M15"/>
  <c r="I14"/>
  <c r="H14"/>
  <c r="J13"/>
  <c r="I13"/>
  <c r="H13"/>
  <c r="J12"/>
  <c r="I12"/>
  <c r="H12"/>
  <c r="J11"/>
  <c r="I11"/>
  <c r="H11"/>
  <c r="O10"/>
  <c r="J8"/>
  <c r="I8"/>
  <c r="H8"/>
  <c r="J7"/>
  <c r="I7"/>
  <c r="I10" s="1"/>
  <c r="H7"/>
  <c r="O6"/>
  <c r="L6"/>
  <c r="K6"/>
  <c r="J6"/>
  <c r="I6"/>
  <c r="G6"/>
  <c r="F6"/>
  <c r="E6"/>
  <c r="M5"/>
  <c r="M6" s="1"/>
  <c r="H5"/>
  <c r="H6" s="1"/>
  <c r="N6" s="1"/>
  <c r="D31" i="23" l="1"/>
  <c r="F29"/>
  <c r="J10" i="14"/>
  <c r="M13"/>
  <c r="M12"/>
  <c r="G26"/>
  <c r="H19"/>
  <c r="G16" i="23"/>
  <c r="E26" i="14"/>
  <c r="I19"/>
  <c r="J22"/>
  <c r="J25"/>
  <c r="D17" i="23"/>
  <c r="J16" i="14"/>
  <c r="H25"/>
  <c r="M9" i="23"/>
  <c r="L9" s="1"/>
  <c r="D19"/>
  <c r="F19" s="1"/>
  <c r="F26" i="14"/>
  <c r="H10"/>
  <c r="M8"/>
  <c r="N8" s="1"/>
  <c r="M11"/>
  <c r="N11" s="1"/>
  <c r="M21"/>
  <c r="N21" s="1"/>
  <c r="M24"/>
  <c r="N13"/>
  <c r="M23"/>
  <c r="N23" s="1"/>
  <c r="K14"/>
  <c r="K16" s="1"/>
  <c r="K26" s="1"/>
  <c r="O26"/>
  <c r="N18"/>
  <c r="L17"/>
  <c r="H22"/>
  <c r="N12"/>
  <c r="J19"/>
  <c r="I22"/>
  <c r="N24"/>
  <c r="I16"/>
  <c r="M20"/>
  <c r="N20" s="1"/>
  <c r="I25"/>
  <c r="M7"/>
  <c r="N5"/>
  <c r="H15"/>
  <c r="N15" s="1"/>
  <c r="L10" i="23" l="1"/>
  <c r="O14"/>
  <c r="F18"/>
  <c r="I16"/>
  <c r="D32"/>
  <c r="F32" s="1"/>
  <c r="F31"/>
  <c r="F17"/>
  <c r="D20"/>
  <c r="F20" s="1"/>
  <c r="I26" i="14"/>
  <c r="J26"/>
  <c r="M25"/>
  <c r="N25" s="1"/>
  <c r="L14"/>
  <c r="M10"/>
  <c r="N10" s="1"/>
  <c r="D21" i="23"/>
  <c r="M22" i="14"/>
  <c r="N22" s="1"/>
  <c r="N7"/>
  <c r="L19"/>
  <c r="M17"/>
  <c r="H16"/>
  <c r="F21" i="23" l="1"/>
  <c r="D27"/>
  <c r="F27" s="1"/>
  <c r="F30" s="1"/>
  <c r="F28" s="1"/>
  <c r="I17"/>
  <c r="H17"/>
  <c r="H18" s="1"/>
  <c r="N14"/>
  <c r="O15"/>
  <c r="N15" s="1"/>
  <c r="L16" i="14"/>
  <c r="L26" s="1"/>
  <c r="M14"/>
  <c r="M19"/>
  <c r="N19" s="1"/>
  <c r="N17"/>
  <c r="H26"/>
  <c r="I18" i="23" l="1"/>
  <c r="I19" s="1"/>
  <c r="H19"/>
  <c r="H20" s="1"/>
  <c r="N14" i="14"/>
  <c r="M16"/>
  <c r="I20" i="23" l="1"/>
  <c r="I21" s="1"/>
  <c r="M26" i="14"/>
  <c r="N16"/>
  <c r="H21" i="23" l="1"/>
  <c r="H22" s="1"/>
  <c r="N26" i="14"/>
  <c r="I22" i="23" l="1"/>
  <c r="C7" i="15" l="1"/>
  <c r="E15" s="1"/>
  <c r="J7"/>
  <c r="E78" l="1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74"/>
  <c r="E70"/>
  <c r="E62"/>
  <c r="E50"/>
  <c r="E42"/>
  <c r="E34"/>
  <c r="E26"/>
  <c r="E18"/>
  <c r="E14"/>
  <c r="E76"/>
  <c r="E68"/>
  <c r="E56"/>
  <c r="E52"/>
  <c r="E48"/>
  <c r="E44"/>
  <c r="E40"/>
  <c r="E36"/>
  <c r="E32"/>
  <c r="E28"/>
  <c r="E24"/>
  <c r="E20"/>
  <c r="E16"/>
  <c r="E12"/>
  <c r="E82"/>
  <c r="E66"/>
  <c r="E58"/>
  <c r="E54"/>
  <c r="E46"/>
  <c r="E38"/>
  <c r="E30"/>
  <c r="E22"/>
  <c r="E80"/>
  <c r="E72"/>
  <c r="E64"/>
  <c r="E60"/>
  <c r="E11"/>
  <c r="E79"/>
  <c r="E75"/>
  <c r="E71"/>
  <c r="E67"/>
  <c r="E63"/>
  <c r="E59"/>
  <c r="E55"/>
  <c r="E51"/>
  <c r="E47"/>
  <c r="E43"/>
  <c r="E39"/>
  <c r="E35"/>
  <c r="E31"/>
  <c r="E27"/>
  <c r="E23"/>
  <c r="E19"/>
  <c r="I13" i="22" l="1"/>
  <c r="G13"/>
  <c r="F13"/>
  <c r="E13"/>
  <c r="K8"/>
  <c r="L8" s="1"/>
  <c r="L7"/>
  <c r="H12"/>
  <c r="J12" s="1"/>
  <c r="L12" s="1"/>
  <c r="H11"/>
  <c r="J11" s="1"/>
  <c r="L11" s="1"/>
  <c r="H10"/>
  <c r="J10" s="1"/>
  <c r="L10" s="1"/>
  <c r="H9"/>
  <c r="J9" s="1"/>
  <c r="L9" s="1"/>
  <c r="H8"/>
  <c r="H7"/>
  <c r="L13" l="1"/>
  <c r="K13"/>
  <c r="H13"/>
  <c r="J13"/>
  <c r="A11" i="15" l="1"/>
  <c r="A13" s="1"/>
  <c r="A14" s="1"/>
  <c r="A15" s="1"/>
  <c r="B11"/>
  <c r="C11" s="1"/>
  <c r="A18" l="1"/>
  <c r="A19" s="1"/>
  <c r="A20" s="1"/>
  <c r="A21" s="1"/>
  <c r="A22" s="1"/>
  <c r="A23" s="1"/>
  <c r="A24" l="1"/>
  <c r="A25" s="1"/>
  <c r="A26" s="1"/>
  <c r="A27" s="1"/>
  <c r="A28" s="1"/>
  <c r="A29" s="1"/>
  <c r="A30" s="1"/>
  <c r="A31" s="1"/>
  <c r="A32" s="1"/>
  <c r="A33" s="1"/>
  <c r="A34" s="1"/>
  <c r="A35" s="1"/>
  <c r="A36" l="1"/>
  <c r="A37" s="1"/>
  <c r="A38" s="1"/>
  <c r="A39" s="1"/>
  <c r="D11"/>
  <c r="A40" l="1"/>
  <c r="A41" s="1"/>
  <c r="A42" s="1"/>
  <c r="A43" s="1"/>
  <c r="A44" s="1"/>
  <c r="A45" s="1"/>
  <c r="A46" s="1"/>
  <c r="A47" s="1"/>
  <c r="F11"/>
  <c r="B12" s="1"/>
  <c r="C12" s="1"/>
  <c r="D12" s="1"/>
  <c r="A48" l="1"/>
  <c r="A49" s="1"/>
  <c r="A50" s="1"/>
  <c r="A51" s="1"/>
  <c r="A52" l="1"/>
  <c r="A53" s="1"/>
  <c r="A54" s="1"/>
  <c r="A55" s="1"/>
  <c r="A56" s="1"/>
  <c r="A57" s="1"/>
  <c r="A58" s="1"/>
  <c r="A59" s="1"/>
  <c r="A60" l="1"/>
  <c r="A61" s="1"/>
  <c r="A62" s="1"/>
  <c r="A63" s="1"/>
  <c r="F12"/>
  <c r="B13" s="1"/>
  <c r="C13" s="1"/>
  <c r="D13" s="1"/>
  <c r="A64" l="1"/>
  <c r="A65" s="1"/>
  <c r="A66" s="1"/>
  <c r="A67" s="1"/>
  <c r="A68" s="1"/>
  <c r="A69" s="1"/>
  <c r="A70" s="1"/>
  <c r="A71" s="1"/>
  <c r="A72" l="1"/>
  <c r="A73" s="1"/>
  <c r="A74" s="1"/>
  <c r="A75" s="1"/>
  <c r="F13"/>
  <c r="B14" s="1"/>
  <c r="C14" s="1"/>
  <c r="D14" s="1"/>
  <c r="A76" l="1"/>
  <c r="A77" s="1"/>
  <c r="A78" s="1"/>
  <c r="A79" s="1"/>
  <c r="A80" s="1"/>
  <c r="A81" s="1"/>
  <c r="A82" s="1"/>
  <c r="F14"/>
  <c r="B15" s="1"/>
  <c r="C15" s="1"/>
  <c r="D15" s="1"/>
  <c r="F15" l="1"/>
  <c r="B16" s="1"/>
  <c r="C16" s="1"/>
  <c r="D16" s="1"/>
  <c r="F16" l="1"/>
  <c r="B17" s="1"/>
  <c r="C17" s="1"/>
  <c r="D17" s="1"/>
  <c r="F17" l="1"/>
  <c r="B18" s="1"/>
  <c r="C18" s="1"/>
  <c r="D18" s="1"/>
  <c r="F18" l="1"/>
  <c r="B19" s="1"/>
  <c r="C19" s="1"/>
  <c r="D19" s="1"/>
  <c r="F19" l="1"/>
  <c r="B20" s="1"/>
  <c r="C20" s="1"/>
  <c r="D20" s="1"/>
  <c r="F20" l="1"/>
  <c r="B21" l="1"/>
  <c r="C21" s="1"/>
  <c r="D21" s="1"/>
  <c r="F21" l="1"/>
  <c r="B22" l="1"/>
  <c r="C22" s="1"/>
  <c r="D22" s="1"/>
  <c r="F22" l="1"/>
  <c r="B23" s="1"/>
  <c r="C23" s="1"/>
  <c r="D23" s="1"/>
  <c r="F23" l="1"/>
  <c r="B24" s="1"/>
  <c r="C24" s="1"/>
  <c r="D24" s="1"/>
  <c r="F24" l="1"/>
  <c r="B25" s="1"/>
  <c r="C25" l="1"/>
  <c r="D25" s="1"/>
  <c r="F25" s="1"/>
  <c r="B26" s="1"/>
  <c r="C26" l="1"/>
  <c r="D26" s="1"/>
  <c r="F26" s="1"/>
  <c r="B27" s="1"/>
  <c r="C27" l="1"/>
  <c r="D27" s="1"/>
  <c r="F27" s="1"/>
  <c r="B28" s="1"/>
  <c r="C28" l="1"/>
  <c r="D28" s="1"/>
  <c r="F28" s="1"/>
  <c r="B29" s="1"/>
  <c r="C29" l="1"/>
  <c r="D29" s="1"/>
  <c r="F29" s="1"/>
  <c r="B30" s="1"/>
  <c r="C30" l="1"/>
  <c r="D30" s="1"/>
  <c r="F30" s="1"/>
  <c r="B31" s="1"/>
  <c r="C31" l="1"/>
  <c r="D31" l="1"/>
  <c r="F31" s="1"/>
  <c r="B32" s="1"/>
  <c r="C32" l="1"/>
  <c r="D32" l="1"/>
  <c r="F32" s="1"/>
  <c r="B33" s="1"/>
  <c r="C33" l="1"/>
  <c r="D33" l="1"/>
  <c r="F33" s="1"/>
  <c r="B34" l="1"/>
  <c r="C34" l="1"/>
  <c r="D34" l="1"/>
  <c r="F34" s="1"/>
  <c r="B35" s="1"/>
  <c r="G34"/>
  <c r="C35"/>
  <c r="D35" s="1"/>
  <c r="F35" s="1"/>
  <c r="B36" s="1"/>
  <c r="C36" l="1"/>
  <c r="D36" s="1"/>
  <c r="F36" s="1"/>
  <c r="B37" s="1"/>
  <c r="C37" l="1"/>
  <c r="D37" s="1"/>
  <c r="F37" s="1"/>
  <c r="B38" s="1"/>
  <c r="C38" l="1"/>
  <c r="D38" s="1"/>
  <c r="F38" s="1"/>
  <c r="B39" s="1"/>
  <c r="C39" l="1"/>
  <c r="D39" s="1"/>
  <c r="F39" s="1"/>
  <c r="B40" s="1"/>
  <c r="C40" l="1"/>
  <c r="D40" s="1"/>
  <c r="F40" s="1"/>
  <c r="B41" s="1"/>
  <c r="C41" l="1"/>
  <c r="D41" s="1"/>
  <c r="F41"/>
  <c r="B42" s="1"/>
  <c r="C42" l="1"/>
  <c r="D42" s="1"/>
  <c r="F42" s="1"/>
  <c r="B43" s="1"/>
  <c r="C43" l="1"/>
  <c r="D43" s="1"/>
  <c r="F43" s="1"/>
  <c r="B44" s="1"/>
  <c r="C44" l="1"/>
  <c r="D44" s="1"/>
  <c r="F44" s="1"/>
  <c r="B45" s="1"/>
  <c r="C45" l="1"/>
  <c r="D45" s="1"/>
  <c r="F45"/>
  <c r="B46" s="1"/>
  <c r="C46" l="1"/>
  <c r="D46" s="1"/>
  <c r="F46" s="1"/>
  <c r="B47" s="1"/>
  <c r="C47" l="1"/>
  <c r="D47" s="1"/>
  <c r="F47" s="1"/>
  <c r="B48" s="1"/>
  <c r="C48" l="1"/>
  <c r="D48" s="1"/>
  <c r="F48" s="1"/>
  <c r="B49" s="1"/>
  <c r="C49" l="1"/>
  <c r="D49" s="1"/>
  <c r="F49" s="1"/>
  <c r="B50" s="1"/>
  <c r="C50" l="1"/>
  <c r="D50" s="1"/>
  <c r="F50"/>
  <c r="B51" s="1"/>
  <c r="C51" l="1"/>
  <c r="D51" s="1"/>
  <c r="F51"/>
  <c r="B52" s="1"/>
  <c r="C52" l="1"/>
  <c r="D52" s="1"/>
  <c r="F52" s="1"/>
  <c r="B53" s="1"/>
  <c r="C53" l="1"/>
  <c r="D53" s="1"/>
  <c r="F53"/>
  <c r="B54" s="1"/>
  <c r="C54" l="1"/>
  <c r="D54" s="1"/>
  <c r="F54" s="1"/>
  <c r="B55" s="1"/>
  <c r="C55" l="1"/>
  <c r="D55" s="1"/>
  <c r="F55"/>
  <c r="B56" s="1"/>
  <c r="C56" l="1"/>
  <c r="D56" s="1"/>
  <c r="F56" s="1"/>
  <c r="B57" s="1"/>
  <c r="C57" l="1"/>
  <c r="D57" s="1"/>
  <c r="F57" s="1"/>
  <c r="B58" s="1"/>
  <c r="C58" l="1"/>
  <c r="D58" s="1"/>
  <c r="F58" s="1"/>
  <c r="B59" s="1"/>
  <c r="C59" l="1"/>
  <c r="D59" s="1"/>
  <c r="F59"/>
  <c r="B60" s="1"/>
  <c r="C60" l="1"/>
  <c r="D60" s="1"/>
  <c r="F60" s="1"/>
  <c r="B61" s="1"/>
  <c r="C61" l="1"/>
  <c r="D61" s="1"/>
  <c r="F61" s="1"/>
  <c r="B62" s="1"/>
  <c r="C62" l="1"/>
  <c r="D62" s="1"/>
  <c r="F62" s="1"/>
  <c r="B63" s="1"/>
  <c r="C63" l="1"/>
  <c r="D63" s="1"/>
  <c r="F63" s="1"/>
  <c r="B64" s="1"/>
  <c r="C64" l="1"/>
  <c r="D64" s="1"/>
  <c r="F64"/>
  <c r="B65" s="1"/>
  <c r="C65" l="1"/>
  <c r="D65" s="1"/>
  <c r="F65" s="1"/>
  <c r="B66" s="1"/>
  <c r="C66" l="1"/>
  <c r="D66" s="1"/>
  <c r="F66" s="1"/>
  <c r="B67" s="1"/>
  <c r="C67" l="1"/>
  <c r="D67" s="1"/>
  <c r="F67" s="1"/>
  <c r="B68" s="1"/>
  <c r="C68" l="1"/>
  <c r="D68" s="1"/>
  <c r="F68" s="1"/>
  <c r="B69" s="1"/>
  <c r="C69" l="1"/>
  <c r="D69" s="1"/>
  <c r="F69" s="1"/>
  <c r="B70" s="1"/>
  <c r="C70" l="1"/>
  <c r="D70" s="1"/>
  <c r="F70" s="1"/>
  <c r="B71" s="1"/>
  <c r="C71" l="1"/>
  <c r="D71" s="1"/>
  <c r="F71" s="1"/>
  <c r="B72" s="1"/>
  <c r="C72" l="1"/>
  <c r="D72" s="1"/>
  <c r="F72" s="1"/>
  <c r="B73" s="1"/>
  <c r="C73" l="1"/>
  <c r="D73" s="1"/>
  <c r="F73" s="1"/>
  <c r="B74" s="1"/>
  <c r="C74" l="1"/>
  <c r="D74" s="1"/>
  <c r="F74" s="1"/>
  <c r="B75" s="1"/>
  <c r="C75" l="1"/>
  <c r="D75" s="1"/>
  <c r="F75" s="1"/>
  <c r="B76" s="1"/>
  <c r="C76" l="1"/>
  <c r="D76" s="1"/>
  <c r="F76" s="1"/>
  <c r="B77" s="1"/>
  <c r="C77" l="1"/>
  <c r="D77" s="1"/>
  <c r="F77" s="1"/>
  <c r="B78" s="1"/>
  <c r="C78" l="1"/>
  <c r="D78" s="1"/>
  <c r="F78" s="1"/>
  <c r="B79" s="1"/>
  <c r="C79" l="1"/>
  <c r="D79" s="1"/>
  <c r="F79" s="1"/>
  <c r="B80" s="1"/>
  <c r="C80" l="1"/>
  <c r="D80" s="1"/>
  <c r="F80" s="1"/>
  <c r="B81" s="1"/>
  <c r="C81" l="1"/>
  <c r="D81" s="1"/>
  <c r="F81"/>
  <c r="B82" s="1"/>
  <c r="C82" l="1"/>
  <c r="D82" s="1"/>
  <c r="F82" s="1"/>
</calcChain>
</file>

<file path=xl/sharedStrings.xml><?xml version="1.0" encoding="utf-8"?>
<sst xmlns="http://schemas.openxmlformats.org/spreadsheetml/2006/main" count="510" uniqueCount="302">
  <si>
    <t>PU</t>
  </si>
  <si>
    <t>durée amortissement</t>
  </si>
  <si>
    <t>Rubrique</t>
  </si>
  <si>
    <t>Descriptif</t>
  </si>
  <si>
    <t>Matériel de Transport</t>
  </si>
  <si>
    <t>VNC</t>
  </si>
  <si>
    <t>Installation générales</t>
  </si>
  <si>
    <t>Date acquisition</t>
  </si>
  <si>
    <t>Selon acte notarié</t>
  </si>
  <si>
    <t>Matériel de bureau</t>
  </si>
  <si>
    <t>Matériel informatique</t>
  </si>
  <si>
    <t>COTTAGE DE LYON</t>
  </si>
  <si>
    <t>Atelier production (facture DERIVOX)</t>
  </si>
  <si>
    <t>Matériel industriel</t>
  </si>
  <si>
    <t>Racks de rangement &amp; installations (Fact BUBOIS)</t>
  </si>
  <si>
    <t>Lot de machines à bois : toupie, tenonneuse, Mortaiseuse, scie, aspirateur d'atelier (fact Guichon)</t>
  </si>
  <si>
    <t>Ensemble bureau &amp; chaise (fact MA Forest)</t>
  </si>
  <si>
    <t>Ens. Comptoir et bureau d'accueil</t>
  </si>
  <si>
    <t>Citroën Jumper L2H2 HDI 100 CONFORT, Occasion 2 ans 34 500 Kms (fact Garage HUBERT)</t>
  </si>
  <si>
    <t>Total Installation générales</t>
  </si>
  <si>
    <t>Total Matériel industriel</t>
  </si>
  <si>
    <t>Total Matériel de bureau</t>
  </si>
  <si>
    <t>Total Matériel de Transport</t>
  </si>
  <si>
    <t>Total Matériel informatique</t>
  </si>
  <si>
    <t>Total général</t>
  </si>
  <si>
    <t>Montant du prêt</t>
  </si>
  <si>
    <t>frais dossier…</t>
  </si>
  <si>
    <t>durée</t>
  </si>
  <si>
    <t>taux annuel</t>
  </si>
  <si>
    <t>mensualités constantes</t>
  </si>
  <si>
    <t>taux mensuel équivalent</t>
  </si>
  <si>
    <t>nombre d'échéances</t>
  </si>
  <si>
    <t>Échéances</t>
  </si>
  <si>
    <t>capital dû début</t>
  </si>
  <si>
    <t>intérêts</t>
  </si>
  <si>
    <t>amortissements</t>
  </si>
  <si>
    <t>mensualités</t>
  </si>
  <si>
    <t>capital dû fin</t>
  </si>
  <si>
    <t xml:space="preserve">Date de versement de l'emprunt </t>
  </si>
  <si>
    <t>Droit au bail</t>
  </si>
  <si>
    <t>Total Droit au bail</t>
  </si>
  <si>
    <t xml:space="preserve">Ordinateur </t>
  </si>
  <si>
    <t>Salle d'expo : sol, cloison(fact Chichoux)</t>
  </si>
  <si>
    <t>Exposition (meubles peints)</t>
  </si>
  <si>
    <t>Jumper rallongé</t>
  </si>
  <si>
    <t>Dérogatoire</t>
  </si>
  <si>
    <t>Commode Burlington 1930 acheté 810 €</t>
  </si>
  <si>
    <t>Bureau Burlington 1930, acheté 1032 €</t>
  </si>
  <si>
    <t>Armoire  Burlington 1930, acheté 707 €</t>
  </si>
  <si>
    <t>C0095</t>
  </si>
  <si>
    <t>C0126</t>
  </si>
  <si>
    <t>C0189</t>
  </si>
  <si>
    <t>C0157</t>
  </si>
  <si>
    <t>C0167</t>
  </si>
  <si>
    <t>Bailly</t>
  </si>
  <si>
    <t>Mathieu</t>
  </si>
  <si>
    <t>SA NRC</t>
  </si>
  <si>
    <t>Kaabech</t>
  </si>
  <si>
    <t>C0017</t>
  </si>
  <si>
    <t>Caillet</t>
  </si>
  <si>
    <t>Jeandel</t>
  </si>
  <si>
    <t>date facture</t>
  </si>
  <si>
    <t>Augm.</t>
  </si>
  <si>
    <t>diminution</t>
  </si>
  <si>
    <t>416000 Clients douteux</t>
  </si>
  <si>
    <t>491000 Dépréciation créances douteuses</t>
  </si>
  <si>
    <t>Taux dépréciation</t>
  </si>
  <si>
    <t>montant facture</t>
  </si>
  <si>
    <t>Code Client</t>
  </si>
  <si>
    <t>Nom Client</t>
  </si>
  <si>
    <t>TEG</t>
  </si>
  <si>
    <t/>
  </si>
  <si>
    <t>15</t>
  </si>
  <si>
    <t>218100</t>
  </si>
  <si>
    <t>281500</t>
  </si>
  <si>
    <t>281810</t>
  </si>
  <si>
    <t>281820</t>
  </si>
  <si>
    <t>281830</t>
  </si>
  <si>
    <t>445621</t>
  </si>
  <si>
    <t>471000</t>
  </si>
  <si>
    <t>681110</t>
  </si>
  <si>
    <t>687100</t>
  </si>
  <si>
    <t>IMMOB BRUTES</t>
  </si>
  <si>
    <t>AMORTISSEMENTS au 31/08/N</t>
  </si>
  <si>
    <t>Détail de réalisation de meubles peints</t>
  </si>
  <si>
    <t xml:space="preserve">Chariot élévateur TEU neuf </t>
  </si>
  <si>
    <t>Les fournitures utilisées (peinture, pinceaux…) sont évaluées à 509,01€.</t>
  </si>
  <si>
    <t>sous-traitance</t>
  </si>
  <si>
    <t>6037</t>
  </si>
  <si>
    <t>6817</t>
  </si>
  <si>
    <t>766</t>
  </si>
  <si>
    <t>Solde</t>
  </si>
  <si>
    <t>Réserve légale</t>
  </si>
  <si>
    <t>2181</t>
  </si>
  <si>
    <t>2182</t>
  </si>
  <si>
    <t>2815</t>
  </si>
  <si>
    <t>28182</t>
  </si>
  <si>
    <t>371</t>
  </si>
  <si>
    <t>3971</t>
  </si>
  <si>
    <t>416</t>
  </si>
  <si>
    <t>445661</t>
  </si>
  <si>
    <t>445711</t>
  </si>
  <si>
    <t>471</t>
  </si>
  <si>
    <t>491</t>
  </si>
  <si>
    <t>Machine défonceuse</t>
  </si>
  <si>
    <t>IS</t>
  </si>
  <si>
    <t>Bénéfice avant IS</t>
  </si>
  <si>
    <t>Bénéfice après IS</t>
  </si>
  <si>
    <t>à 15%</t>
  </si>
  <si>
    <t>Calcul de l'IS</t>
  </si>
  <si>
    <t>1er acompte IS</t>
  </si>
  <si>
    <t>2e acompte IS</t>
  </si>
  <si>
    <t>3e acompte IS</t>
  </si>
  <si>
    <t>4e acompte IS</t>
  </si>
  <si>
    <t>Base</t>
  </si>
  <si>
    <t>taux</t>
  </si>
  <si>
    <t>Montant</t>
  </si>
  <si>
    <t>base normale</t>
  </si>
  <si>
    <t>Régularisation 1er acompte</t>
  </si>
  <si>
    <t>145</t>
  </si>
  <si>
    <t>1515</t>
  </si>
  <si>
    <t>4098</t>
  </si>
  <si>
    <t>444</t>
  </si>
  <si>
    <t>486</t>
  </si>
  <si>
    <t>5908</t>
  </si>
  <si>
    <t>609</t>
  </si>
  <si>
    <t>615</t>
  </si>
  <si>
    <t>6413</t>
  </si>
  <si>
    <t>654</t>
  </si>
  <si>
    <t>675</t>
  </si>
  <si>
    <t>6865</t>
  </si>
  <si>
    <t>6951</t>
  </si>
  <si>
    <t>722</t>
  </si>
  <si>
    <t>775</t>
  </si>
  <si>
    <t>7817</t>
  </si>
  <si>
    <t>Affectation du résultat</t>
  </si>
  <si>
    <t>Bénéfice</t>
  </si>
  <si>
    <t>Bénéfice disponible</t>
  </si>
  <si>
    <t>Réserve facultative</t>
  </si>
  <si>
    <t>Intérêt statutaire</t>
  </si>
  <si>
    <t>= 6% 50€ x 800 actions</t>
  </si>
  <si>
    <t>Total distribuable</t>
  </si>
  <si>
    <t>Superdividende</t>
  </si>
  <si>
    <t>à 28%</t>
  </si>
  <si>
    <t>Montant Débit</t>
  </si>
  <si>
    <t>Montant Crédit</t>
  </si>
  <si>
    <t>Solde Débit</t>
  </si>
  <si>
    <t>Solde crédit</t>
  </si>
  <si>
    <t>Immobilisations au 31/08/20N(avant régularisations ou acquisitions)</t>
  </si>
  <si>
    <r>
      <t xml:space="preserve"> 2- Immobilisations au 31/08/N         </t>
    </r>
    <r>
      <rPr>
        <b/>
        <sz val="14"/>
        <color rgb="FFFF0000"/>
        <rFont val="Arial"/>
        <family val="2"/>
      </rPr>
      <t>CORRIGE</t>
    </r>
  </si>
  <si>
    <t>16/03/20N</t>
  </si>
  <si>
    <t>31/01/20N-1</t>
  </si>
  <si>
    <t>19/04/20N-1</t>
  </si>
  <si>
    <t>03/10/20N-1</t>
  </si>
  <si>
    <t>15/03/20N</t>
  </si>
  <si>
    <t>18/03/20N</t>
  </si>
  <si>
    <t>31/05/20N</t>
  </si>
  <si>
    <t>31/08/20N-1</t>
  </si>
  <si>
    <t>31/08/20N</t>
  </si>
  <si>
    <r>
      <t>Tableau des créances douteuses au 31/08/20N (</t>
    </r>
    <r>
      <rPr>
        <b/>
        <sz val="12"/>
        <color rgb="FFFF0000"/>
        <rFont val="Arial"/>
        <family val="2"/>
      </rPr>
      <t>CORRIGE</t>
    </r>
    <r>
      <rPr>
        <b/>
        <sz val="12"/>
        <rFont val="Arial"/>
        <family val="2"/>
      </rPr>
      <t>)</t>
    </r>
  </si>
  <si>
    <t>VNC immob cédés</t>
  </si>
  <si>
    <t>Amortis Dérogatoire</t>
  </si>
  <si>
    <t>Brouillard de Saisie</t>
  </si>
  <si>
    <t>Proposition de corrigé Mission 1 Ecritures d'inventaire</t>
  </si>
  <si>
    <t>Cottage de Lyon</t>
  </si>
  <si>
    <t>OD</t>
  </si>
  <si>
    <t>Opérations diverses</t>
  </si>
  <si>
    <t>Jour</t>
  </si>
  <si>
    <t>N° compte</t>
  </si>
  <si>
    <t>N°pièce</t>
  </si>
  <si>
    <t>Libellé écriture</t>
  </si>
  <si>
    <t>Mvts débit</t>
  </si>
  <si>
    <t>Mvts crédit</t>
  </si>
  <si>
    <t>6611</t>
  </si>
  <si>
    <t>2</t>
  </si>
  <si>
    <t>1668</t>
  </si>
  <si>
    <t>Int courus 15-12 au 31/12 (120,75/2)</t>
  </si>
  <si>
    <t>68112</t>
  </si>
  <si>
    <t>3</t>
  </si>
  <si>
    <t>Dot aux amortis Selon tableau amort</t>
  </si>
  <si>
    <t>4</t>
  </si>
  <si>
    <t>maintenance défonceuse sept à août n+1</t>
  </si>
  <si>
    <t>215</t>
  </si>
  <si>
    <t>Défonceuse</t>
  </si>
  <si>
    <t>Défonceuse régularisation</t>
  </si>
  <si>
    <t>5</t>
  </si>
  <si>
    <t>Régul TVA s/défonceuse</t>
  </si>
  <si>
    <t>6</t>
  </si>
  <si>
    <t>Maintenance 10 mois pour année N+1</t>
  </si>
  <si>
    <t>7</t>
  </si>
  <si>
    <t xml:space="preserve">Dot éco machine : </t>
  </si>
  <si>
    <t>2750 * 25% * (23+30)/360</t>
  </si>
  <si>
    <t>68725</t>
  </si>
  <si>
    <t>8</t>
  </si>
  <si>
    <t>Dot fiscale (2750*31,25%*2/12)-(dot éco)</t>
  </si>
  <si>
    <t>9</t>
  </si>
  <si>
    <t>Citroën Jumper rallongé</t>
  </si>
  <si>
    <t>10</t>
  </si>
  <si>
    <t>Dot amort Jumper 56/360 x 25% x 19000</t>
  </si>
  <si>
    <t>11</t>
  </si>
  <si>
    <t>régularisation vte Jumper Giraudet</t>
  </si>
  <si>
    <t>12</t>
  </si>
  <si>
    <t>Sortie patrimoine Jumper</t>
  </si>
  <si>
    <t>13</t>
  </si>
  <si>
    <t>installation salle expo Décembre</t>
  </si>
  <si>
    <t>4457101</t>
  </si>
  <si>
    <t>14</t>
  </si>
  <si>
    <t>Complt amort salle exo au rebus</t>
  </si>
  <si>
    <t>Sortie patrimoine salle expo</t>
  </si>
  <si>
    <t>16</t>
  </si>
  <si>
    <t>Annulation stock initial</t>
  </si>
  <si>
    <t>17</t>
  </si>
  <si>
    <t>Reprise dépréciation stock init</t>
  </si>
  <si>
    <t>18</t>
  </si>
  <si>
    <t xml:space="preserve">Stock final </t>
  </si>
  <si>
    <t>Stock final</t>
  </si>
  <si>
    <t>19</t>
  </si>
  <si>
    <t>Dépréciation SF</t>
  </si>
  <si>
    <t>4011</t>
  </si>
  <si>
    <t>20</t>
  </si>
  <si>
    <t>Régul écart de change £9862.80</t>
  </si>
  <si>
    <t>21</t>
  </si>
  <si>
    <t>Solde (-£438+14081,52)/0.8591</t>
  </si>
  <si>
    <t>4772</t>
  </si>
  <si>
    <t>22</t>
  </si>
  <si>
    <t>MA FOREST avoir s/324538 d'achat</t>
  </si>
  <si>
    <t>44586</t>
  </si>
  <si>
    <t>411237</t>
  </si>
  <si>
    <t>23</t>
  </si>
  <si>
    <t>régul  5697.57FS x 0.9189-5260</t>
  </si>
  <si>
    <t>4761</t>
  </si>
  <si>
    <t>24</t>
  </si>
  <si>
    <t>Prov perte de change WENGER</t>
  </si>
  <si>
    <t>25</t>
  </si>
  <si>
    <t>Primes Antoine (1500) Odile (1800)</t>
  </si>
  <si>
    <t>428</t>
  </si>
  <si>
    <t>645</t>
  </si>
  <si>
    <t>26</t>
  </si>
  <si>
    <t>Charges à payer s/primes 41%</t>
  </si>
  <si>
    <t>438</t>
  </si>
  <si>
    <t>Charges à payer s/primes</t>
  </si>
  <si>
    <t>686</t>
  </si>
  <si>
    <t>27</t>
  </si>
  <si>
    <t>BNP Optimal 15218.33- (15x997.12)</t>
  </si>
  <si>
    <t>28</t>
  </si>
  <si>
    <t>Caillet irrécouvrable NPAI</t>
  </si>
  <si>
    <t>78174</t>
  </si>
  <si>
    <t>29</t>
  </si>
  <si>
    <t>30</t>
  </si>
  <si>
    <t>Bailly diminut° créance</t>
  </si>
  <si>
    <t>31</t>
  </si>
  <si>
    <t>MATHIEU Douteux</t>
  </si>
  <si>
    <t>411126</t>
  </si>
  <si>
    <t>MATHIEU</t>
  </si>
  <si>
    <t>32</t>
  </si>
  <si>
    <t>411157</t>
  </si>
  <si>
    <t>411167</t>
  </si>
  <si>
    <t>33</t>
  </si>
  <si>
    <t>JEANDEL</t>
  </si>
  <si>
    <t>411189</t>
  </si>
  <si>
    <t>34</t>
  </si>
  <si>
    <t>KAABECH</t>
  </si>
  <si>
    <t>68174</t>
  </si>
  <si>
    <t>35</t>
  </si>
  <si>
    <t>dép clients douteux selon tableau</t>
  </si>
  <si>
    <t>36</t>
  </si>
  <si>
    <t>IS à Payer</t>
  </si>
  <si>
    <t>280510</t>
  </si>
  <si>
    <t>entreprise nouvellement créée</t>
  </si>
  <si>
    <t>par action</t>
  </si>
  <si>
    <t>Qté</t>
  </si>
  <si>
    <t>intérêt statutaire</t>
  </si>
  <si>
    <t>superdividende</t>
  </si>
  <si>
    <t>TOTAL</t>
  </si>
  <si>
    <t>Chaque actionnaire aura (par action)</t>
  </si>
  <si>
    <t>acpte théorique (1694) - 1er acompte (1 278)</t>
  </si>
  <si>
    <t>Montant Bilan
 N-1</t>
  </si>
  <si>
    <t>Acquisitions 
N</t>
  </si>
  <si>
    <t>Cessions
N</t>
  </si>
  <si>
    <t>Total Immob 31/12/N</t>
  </si>
  <si>
    <t>Dotation 
N</t>
  </si>
  <si>
    <t>Total Amortis
N-1</t>
  </si>
  <si>
    <t>Dot Except. Amort N</t>
  </si>
  <si>
    <t>Diminution Amortis N</t>
  </si>
  <si>
    <t>Cumul amort au 31/12/N</t>
  </si>
  <si>
    <t>Au 31/12/N</t>
  </si>
  <si>
    <t>AU 31/12/N-1</t>
  </si>
  <si>
    <t>liquidation de l'IS N-2</t>
  </si>
  <si>
    <t>15/05/N-1</t>
  </si>
  <si>
    <t>Planning prévisionnel pour liquider l'IS N</t>
  </si>
  <si>
    <t>15/03/N</t>
  </si>
  <si>
    <t>15/06/N</t>
  </si>
  <si>
    <t>15/03/N+1</t>
  </si>
  <si>
    <t>15/06/N+1</t>
  </si>
  <si>
    <t>15/09/N+1</t>
  </si>
  <si>
    <t>15/12/N+1</t>
  </si>
  <si>
    <t>15/12/N</t>
  </si>
  <si>
    <t>15/09/N</t>
  </si>
  <si>
    <t>31/12/N-1</t>
  </si>
  <si>
    <t>Constation IS N-1</t>
  </si>
  <si>
    <t>Liquidation de l'IS N-1</t>
  </si>
  <si>
    <t>31/12/N</t>
  </si>
</sst>
</file>

<file path=xl/styles.xml><?xml version="1.0" encoding="utf-8"?>
<styleSheet xmlns="http://schemas.openxmlformats.org/spreadsheetml/2006/main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0" formatCode="_-* #,##0\ _€_-;\-* #,##0\ _€_-;_-* &quot;-&quot;??\ _€_-;_-@_-"/>
    <numFmt numFmtId="172" formatCode="0.00000%"/>
    <numFmt numFmtId="173" formatCode="0.000%"/>
    <numFmt numFmtId="174" formatCode="#,##0.00\ &quot;€&quot;"/>
    <numFmt numFmtId="175" formatCode="ddmmyy"/>
  </numFmts>
  <fonts count="21">
    <font>
      <sz val="12"/>
      <name val="Times New Roman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63242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9" fillId="0" borderId="0" xfId="0" applyFont="1"/>
    <xf numFmtId="0" fontId="9" fillId="0" borderId="10" xfId="0" applyFont="1" applyBorder="1"/>
    <xf numFmtId="0" fontId="9" fillId="0" borderId="0" xfId="0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3" fontId="9" fillId="0" borderId="10" xfId="4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3" fontId="9" fillId="0" borderId="0" xfId="4" applyFont="1"/>
    <xf numFmtId="43" fontId="9" fillId="0" borderId="0" xfId="0" applyNumberFormat="1" applyFont="1"/>
    <xf numFmtId="43" fontId="9" fillId="0" borderId="29" xfId="4" applyFont="1" applyFill="1" applyBorder="1"/>
    <xf numFmtId="9" fontId="9" fillId="0" borderId="29" xfId="4" applyNumberFormat="1" applyFont="1" applyBorder="1"/>
    <xf numFmtId="0" fontId="9" fillId="0" borderId="2" xfId="0" applyFont="1" applyBorder="1"/>
    <xf numFmtId="0" fontId="9" fillId="0" borderId="37" xfId="0" applyFont="1" applyBorder="1"/>
    <xf numFmtId="0" fontId="9" fillId="0" borderId="35" xfId="0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3" fontId="6" fillId="0" borderId="10" xfId="4" applyFont="1" applyBorder="1"/>
    <xf numFmtId="14" fontId="6" fillId="0" borderId="12" xfId="0" applyNumberFormat="1" applyFont="1" applyBorder="1"/>
    <xf numFmtId="43" fontId="6" fillId="0" borderId="2" xfId="4" applyFont="1" applyBorder="1"/>
    <xf numFmtId="43" fontId="6" fillId="0" borderId="12" xfId="4" applyFont="1" applyBorder="1"/>
    <xf numFmtId="0" fontId="6" fillId="0" borderId="7" xfId="0" applyFont="1" applyBorder="1"/>
    <xf numFmtId="43" fontId="6" fillId="0" borderId="35" xfId="4" applyFont="1" applyBorder="1"/>
    <xf numFmtId="14" fontId="6" fillId="0" borderId="36" xfId="0" applyNumberFormat="1" applyFont="1" applyBorder="1"/>
    <xf numFmtId="43" fontId="6" fillId="0" borderId="4" xfId="4" applyFont="1" applyBorder="1"/>
    <xf numFmtId="43" fontId="6" fillId="0" borderId="11" xfId="4" applyFont="1" applyBorder="1"/>
    <xf numFmtId="43" fontId="6" fillId="0" borderId="34" xfId="4" applyFont="1" applyBorder="1"/>
    <xf numFmtId="0" fontId="6" fillId="0" borderId="0" xfId="0" applyFont="1"/>
    <xf numFmtId="43" fontId="6" fillId="0" borderId="33" xfId="0" applyNumberFormat="1" applyFont="1" applyBorder="1"/>
    <xf numFmtId="43" fontId="6" fillId="0" borderId="32" xfId="0" applyNumberFormat="1" applyFont="1" applyBorder="1"/>
    <xf numFmtId="43" fontId="6" fillId="0" borderId="6" xfId="0" applyNumberFormat="1" applyFont="1" applyBorder="1"/>
    <xf numFmtId="0" fontId="9" fillId="0" borderId="13" xfId="0" applyFont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9" fillId="5" borderId="10" xfId="4" applyFont="1" applyFill="1" applyBorder="1" applyAlignment="1">
      <alignment horizontal="center" vertical="center" wrapText="1"/>
    </xf>
    <xf numFmtId="43" fontId="7" fillId="5" borderId="10" xfId="4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3" fontId="9" fillId="5" borderId="10" xfId="4" applyFont="1" applyFill="1" applyBorder="1" applyAlignment="1">
      <alignment horizontal="center" vertical="center"/>
    </xf>
    <xf numFmtId="43" fontId="7" fillId="5" borderId="10" xfId="4" applyFont="1" applyFill="1" applyBorder="1" applyAlignment="1">
      <alignment horizontal="center" vertical="center"/>
    </xf>
    <xf numFmtId="43" fontId="9" fillId="6" borderId="10" xfId="0" applyNumberFormat="1" applyFont="1" applyFill="1" applyBorder="1" applyAlignment="1">
      <alignment horizontal="center" vertical="center"/>
    </xf>
    <xf numFmtId="43" fontId="7" fillId="6" borderId="10" xfId="0" applyNumberFormat="1" applyFont="1" applyFill="1" applyBorder="1" applyAlignment="1">
      <alignment horizontal="center" vertical="center"/>
    </xf>
    <xf numFmtId="43" fontId="7" fillId="0" borderId="10" xfId="4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9" fillId="5" borderId="10" xfId="4" applyFont="1" applyFill="1" applyBorder="1" applyAlignment="1">
      <alignment horizontal="right" vertical="center"/>
    </xf>
    <xf numFmtId="43" fontId="9" fillId="6" borderId="10" xfId="4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3" fontId="9" fillId="6" borderId="10" xfId="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3" fontId="9" fillId="5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3" fontId="7" fillId="0" borderId="11" xfId="4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14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3" fontId="7" fillId="5" borderId="32" xfId="4" applyFont="1" applyFill="1" applyBorder="1" applyAlignment="1">
      <alignment horizontal="center" vertical="center"/>
    </xf>
    <xf numFmtId="43" fontId="7" fillId="6" borderId="32" xfId="4" applyFont="1" applyFill="1" applyBorder="1" applyAlignment="1">
      <alignment horizontal="center" vertical="center"/>
    </xf>
    <xf numFmtId="43" fontId="7" fillId="6" borderId="32" xfId="0" applyNumberFormat="1" applyFont="1" applyFill="1" applyBorder="1" applyAlignment="1">
      <alignment horizontal="center" vertical="center"/>
    </xf>
    <xf numFmtId="43" fontId="7" fillId="0" borderId="32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3" fontId="9" fillId="0" borderId="13" xfId="0" applyNumberFormat="1" applyFont="1" applyBorder="1" applyAlignment="1">
      <alignment horizontal="center" vertical="center"/>
    </xf>
    <xf numFmtId="43" fontId="9" fillId="0" borderId="13" xfId="4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9" fillId="0" borderId="3" xfId="0" quotePrefix="1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43" fontId="9" fillId="0" borderId="0" xfId="4" applyFont="1" applyFill="1" applyBorder="1" applyAlignment="1">
      <alignment horizontal="center" vertical="center"/>
    </xf>
    <xf numFmtId="9" fontId="9" fillId="0" borderId="0" xfId="3" applyFont="1"/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4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15" fillId="0" borderId="9" xfId="0" applyFont="1" applyBorder="1"/>
    <xf numFmtId="174" fontId="9" fillId="0" borderId="0" xfId="0" applyNumberFormat="1" applyFont="1"/>
    <xf numFmtId="0" fontId="9" fillId="5" borderId="10" xfId="0" applyFont="1" applyFill="1" applyBorder="1"/>
    <xf numFmtId="170" fontId="9" fillId="5" borderId="10" xfId="0" applyNumberFormat="1" applyFont="1" applyFill="1" applyBorder="1" applyAlignment="1">
      <alignment horizontal="center"/>
    </xf>
    <xf numFmtId="12" fontId="9" fillId="5" borderId="10" xfId="0" applyNumberFormat="1" applyFont="1" applyFill="1" applyBorder="1" applyAlignment="1">
      <alignment horizontal="center"/>
    </xf>
    <xf numFmtId="0" fontId="9" fillId="5" borderId="11" xfId="0" applyFont="1" applyFill="1" applyBorder="1"/>
    <xf numFmtId="0" fontId="9" fillId="5" borderId="11" xfId="0" applyFont="1" applyFill="1" applyBorder="1" applyAlignment="1">
      <alignment horizontal="center"/>
    </xf>
    <xf numFmtId="12" fontId="9" fillId="5" borderId="11" xfId="0" applyNumberFormat="1" applyFont="1" applyFill="1" applyBorder="1" applyAlignment="1">
      <alignment horizontal="center"/>
    </xf>
    <xf numFmtId="170" fontId="15" fillId="0" borderId="9" xfId="0" applyNumberFormat="1" applyFont="1" applyBorder="1" applyAlignment="1">
      <alignment horizontal="center"/>
    </xf>
    <xf numFmtId="12" fontId="15" fillId="0" borderId="9" xfId="0" applyNumberFormat="1" applyFont="1" applyBorder="1" applyAlignment="1">
      <alignment horizontal="center"/>
    </xf>
    <xf numFmtId="0" fontId="15" fillId="0" borderId="8" xfId="0" applyFont="1" applyBorder="1"/>
    <xf numFmtId="170" fontId="15" fillId="0" borderId="8" xfId="0" applyNumberFormat="1" applyFont="1" applyBorder="1" applyAlignment="1">
      <alignment horizontal="center"/>
    </xf>
    <xf numFmtId="12" fontId="15" fillId="0" borderId="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3" fontId="9" fillId="5" borderId="10" xfId="4" applyFont="1" applyFill="1" applyBorder="1" applyAlignment="1">
      <alignment horizontal="center"/>
    </xf>
    <xf numFmtId="43" fontId="9" fillId="5" borderId="11" xfId="4" applyFont="1" applyFill="1" applyBorder="1" applyAlignment="1">
      <alignment horizontal="center"/>
    </xf>
    <xf numFmtId="14" fontId="9" fillId="5" borderId="10" xfId="0" applyNumberFormat="1" applyFont="1" applyFill="1" applyBorder="1" applyAlignment="1">
      <alignment horizontal="center"/>
    </xf>
    <xf numFmtId="14" fontId="9" fillId="5" borderId="11" xfId="0" applyNumberFormat="1" applyFont="1" applyFill="1" applyBorder="1" applyAlignment="1">
      <alignment horizontal="center"/>
    </xf>
    <xf numFmtId="43" fontId="15" fillId="0" borderId="9" xfId="4" applyFont="1" applyBorder="1" applyAlignment="1">
      <alignment horizontal="center"/>
    </xf>
    <xf numFmtId="43" fontId="15" fillId="0" borderId="8" xfId="4" applyFont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14" fontId="15" fillId="0" borderId="8" xfId="0" applyNumberFormat="1" applyFont="1" applyBorder="1" applyAlignment="1">
      <alignment horizontal="center"/>
    </xf>
    <xf numFmtId="4" fontId="9" fillId="0" borderId="0" xfId="0" applyNumberFormat="1" applyFont="1"/>
    <xf numFmtId="0" fontId="9" fillId="0" borderId="0" xfId="0" quotePrefix="1" applyFont="1"/>
    <xf numFmtId="0" fontId="9" fillId="7" borderId="10" xfId="0" applyFont="1" applyFill="1" applyBorder="1"/>
    <xf numFmtId="14" fontId="9" fillId="7" borderId="10" xfId="0" applyNumberFormat="1" applyFont="1" applyFill="1" applyBorder="1" applyAlignment="1">
      <alignment horizontal="center"/>
    </xf>
    <xf numFmtId="170" fontId="9" fillId="7" borderId="10" xfId="0" applyNumberFormat="1" applyFont="1" applyFill="1" applyBorder="1" applyAlignment="1">
      <alignment horizontal="center"/>
    </xf>
    <xf numFmtId="12" fontId="9" fillId="7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14" fontId="9" fillId="8" borderId="10" xfId="0" applyNumberFormat="1" applyFont="1" applyFill="1" applyBorder="1" applyAlignment="1">
      <alignment horizontal="center"/>
    </xf>
    <xf numFmtId="170" fontId="9" fillId="8" borderId="10" xfId="0" applyNumberFormat="1" applyFont="1" applyFill="1" applyBorder="1" applyAlignment="1">
      <alignment horizontal="center"/>
    </xf>
    <xf numFmtId="12" fontId="9" fillId="8" borderId="10" xfId="0" applyNumberFormat="1" applyFont="1" applyFill="1" applyBorder="1" applyAlignment="1">
      <alignment horizontal="center"/>
    </xf>
    <xf numFmtId="43" fontId="9" fillId="8" borderId="10" xfId="4" applyFont="1" applyFill="1" applyBorder="1" applyAlignment="1">
      <alignment horizontal="center"/>
    </xf>
    <xf numFmtId="0" fontId="9" fillId="8" borderId="11" xfId="0" applyFont="1" applyFill="1" applyBorder="1"/>
    <xf numFmtId="14" fontId="9" fillId="8" borderId="11" xfId="0" applyNumberFormat="1" applyFont="1" applyFill="1" applyBorder="1" applyAlignment="1">
      <alignment horizontal="center"/>
    </xf>
    <xf numFmtId="170" fontId="9" fillId="8" borderId="11" xfId="0" applyNumberFormat="1" applyFont="1" applyFill="1" applyBorder="1" applyAlignment="1">
      <alignment horizontal="center"/>
    </xf>
    <xf numFmtId="0" fontId="9" fillId="9" borderId="10" xfId="0" applyFont="1" applyFill="1" applyBorder="1"/>
    <xf numFmtId="14" fontId="9" fillId="9" borderId="10" xfId="0" applyNumberFormat="1" applyFont="1" applyFill="1" applyBorder="1" applyAlignment="1">
      <alignment horizontal="center"/>
    </xf>
    <xf numFmtId="170" fontId="9" fillId="9" borderId="10" xfId="0" applyNumberFormat="1" applyFont="1" applyFill="1" applyBorder="1" applyAlignment="1">
      <alignment horizontal="center"/>
    </xf>
    <xf numFmtId="12" fontId="9" fillId="9" borderId="10" xfId="0" applyNumberFormat="1" applyFont="1" applyFill="1" applyBorder="1" applyAlignment="1">
      <alignment horizontal="center"/>
    </xf>
    <xf numFmtId="43" fontId="9" fillId="0" borderId="10" xfId="4" applyFont="1" applyFill="1" applyBorder="1" applyAlignment="1">
      <alignment horizontal="center"/>
    </xf>
    <xf numFmtId="43" fontId="9" fillId="0" borderId="10" xfId="0" applyNumberFormat="1" applyFont="1" applyBorder="1"/>
    <xf numFmtId="0" fontId="16" fillId="0" borderId="0" xfId="0" applyFont="1"/>
    <xf numFmtId="7" fontId="16" fillId="0" borderId="21" xfId="4" applyNumberFormat="1" applyFont="1" applyBorder="1" applyAlignment="1">
      <alignment horizontal="center"/>
    </xf>
    <xf numFmtId="44" fontId="16" fillId="0" borderId="28" xfId="5" applyFont="1" applyBorder="1"/>
    <xf numFmtId="0" fontId="16" fillId="0" borderId="0" xfId="0" applyFont="1" applyBorder="1" applyAlignment="1">
      <alignment horizontal="center"/>
    </xf>
    <xf numFmtId="10" fontId="16" fillId="0" borderId="15" xfId="0" applyNumberFormat="1" applyFont="1" applyBorder="1" applyAlignment="1">
      <alignment horizontal="center"/>
    </xf>
    <xf numFmtId="8" fontId="16" fillId="0" borderId="35" xfId="4" applyNumberFormat="1" applyFont="1" applyBorder="1"/>
    <xf numFmtId="172" fontId="16" fillId="0" borderId="15" xfId="0" applyNumberFormat="1" applyFont="1" applyBorder="1" applyAlignment="1">
      <alignment horizontal="center"/>
    </xf>
    <xf numFmtId="8" fontId="16" fillId="0" borderId="0" xfId="0" applyNumberFormat="1" applyFont="1"/>
    <xf numFmtId="14" fontId="16" fillId="0" borderId="16" xfId="0" applyNumberFormat="1" applyFont="1" applyBorder="1"/>
    <xf numFmtId="0" fontId="16" fillId="0" borderId="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16" fillId="0" borderId="10" xfId="0" applyNumberFormat="1" applyFont="1" applyBorder="1"/>
    <xf numFmtId="43" fontId="16" fillId="0" borderId="10" xfId="4" applyFont="1" applyBorder="1"/>
    <xf numFmtId="8" fontId="16" fillId="0" borderId="10" xfId="4" applyNumberFormat="1" applyFont="1" applyBorder="1"/>
    <xf numFmtId="43" fontId="16" fillId="0" borderId="0" xfId="0" applyNumberFormat="1" applyFont="1"/>
    <xf numFmtId="173" fontId="16" fillId="0" borderId="0" xfId="0" applyNumberFormat="1" applyFont="1"/>
    <xf numFmtId="49" fontId="1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18" fillId="0" borderId="0" xfId="0" applyNumberFormat="1" applyFont="1" applyFill="1" applyBorder="1"/>
    <xf numFmtId="43" fontId="16" fillId="0" borderId="0" xfId="4" applyFont="1" applyFill="1" applyBorder="1"/>
    <xf numFmtId="49" fontId="18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wrapText="1"/>
    </xf>
    <xf numFmtId="43" fontId="18" fillId="0" borderId="11" xfId="4" applyFont="1" applyFill="1" applyBorder="1" applyAlignment="1">
      <alignment horizontal="center"/>
    </xf>
    <xf numFmtId="175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/>
    <xf numFmtId="43" fontId="16" fillId="0" borderId="11" xfId="4" applyFont="1" applyFill="1" applyBorder="1" applyAlignment="1">
      <alignment horizontal="right"/>
    </xf>
    <xf numFmtId="175" fontId="16" fillId="0" borderId="0" xfId="0" applyNumberFormat="1" applyFont="1"/>
    <xf numFmtId="175" fontId="16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/>
    <xf numFmtId="43" fontId="16" fillId="0" borderId="8" xfId="4" applyFont="1" applyFill="1" applyBorder="1" applyAlignment="1">
      <alignment horizontal="right"/>
    </xf>
    <xf numFmtId="175" fontId="16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/>
    <xf numFmtId="43" fontId="16" fillId="0" borderId="9" xfId="4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43" fontId="16" fillId="0" borderId="20" xfId="4" applyFont="1" applyFill="1" applyBorder="1" applyAlignment="1">
      <alignment horizontal="right"/>
    </xf>
    <xf numFmtId="43" fontId="16" fillId="0" borderId="31" xfId="4" applyFont="1" applyFill="1" applyBorder="1" applyAlignment="1">
      <alignment horizontal="right"/>
    </xf>
    <xf numFmtId="43" fontId="16" fillId="0" borderId="30" xfId="4" applyFont="1" applyFill="1" applyBorder="1" applyAlignment="1">
      <alignment horizontal="right"/>
    </xf>
    <xf numFmtId="0" fontId="20" fillId="0" borderId="0" xfId="0" applyFont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43" fontId="18" fillId="0" borderId="10" xfId="4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center"/>
    </xf>
    <xf numFmtId="49" fontId="16" fillId="0" borderId="11" xfId="0" applyNumberFormat="1" applyFont="1" applyBorder="1"/>
    <xf numFmtId="43" fontId="16" fillId="0" borderId="11" xfId="4" applyFont="1" applyBorder="1" applyAlignment="1">
      <alignment horizontal="right"/>
    </xf>
    <xf numFmtId="49" fontId="16" fillId="0" borderId="9" xfId="0" applyNumberFormat="1" applyFont="1" applyBorder="1" applyAlignment="1">
      <alignment horizontal="center"/>
    </xf>
    <xf numFmtId="49" fontId="16" fillId="0" borderId="9" xfId="0" applyNumberFormat="1" applyFont="1" applyBorder="1"/>
    <xf numFmtId="43" fontId="16" fillId="0" borderId="9" xfId="4" applyFont="1" applyBorder="1" applyAlignment="1">
      <alignment horizontal="right"/>
    </xf>
    <xf numFmtId="49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/>
    <xf numFmtId="43" fontId="16" fillId="0" borderId="8" xfId="4" applyFont="1" applyBorder="1" applyAlignment="1">
      <alignment horizontal="right"/>
    </xf>
    <xf numFmtId="0" fontId="16" fillId="0" borderId="0" xfId="0" applyFont="1" applyAlignment="1">
      <alignment horizontal="center"/>
    </xf>
    <xf numFmtId="43" fontId="16" fillId="0" borderId="0" xfId="4" applyFont="1"/>
    <xf numFmtId="49" fontId="18" fillId="0" borderId="14" xfId="0" applyNumberFormat="1" applyFont="1" applyFill="1" applyBorder="1" applyAlignment="1">
      <alignment horizontal="left"/>
    </xf>
    <xf numFmtId="170" fontId="9" fillId="0" borderId="0" xfId="0" applyNumberFormat="1" applyFont="1"/>
    <xf numFmtId="0" fontId="9" fillId="10" borderId="0" xfId="0" applyFont="1" applyFill="1"/>
    <xf numFmtId="0" fontId="9" fillId="0" borderId="3" xfId="0" applyFont="1" applyBorder="1"/>
    <xf numFmtId="4" fontId="9" fillId="0" borderId="29" xfId="0" applyNumberFormat="1" applyFont="1" applyBorder="1"/>
    <xf numFmtId="4" fontId="9" fillId="0" borderId="10" xfId="0" applyNumberFormat="1" applyFont="1" applyBorder="1"/>
    <xf numFmtId="2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/>
    <xf numFmtId="3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6" borderId="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 wrapText="1"/>
    </xf>
    <xf numFmtId="0" fontId="9" fillId="0" borderId="13" xfId="0" quotePrefix="1" applyFont="1" applyBorder="1" applyAlignment="1">
      <alignment horizontal="left" vertical="center" wrapText="1"/>
    </xf>
    <xf numFmtId="0" fontId="9" fillId="0" borderId="29" xfId="0" quotePrefix="1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1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5" fillId="0" borderId="9" xfId="4" applyFont="1" applyBorder="1"/>
    <xf numFmtId="43" fontId="8" fillId="0" borderId="10" xfId="4" applyFont="1" applyBorder="1"/>
  </cellXfs>
  <cellStyles count="10">
    <cellStyle name="Milliers" xfId="4" builtinId="3"/>
    <cellStyle name="Milliers 3" xfId="2"/>
    <cellStyle name="Monétaire" xfId="5" builtinId="4"/>
    <cellStyle name="Normal" xfId="0" builtinId="0"/>
    <cellStyle name="Normal 2" xfId="6"/>
    <cellStyle name="Normal 3" xfId="1"/>
    <cellStyle name="Normal 4" xfId="7"/>
    <cellStyle name="Normal 5" xfId="8"/>
    <cellStyle name="Normal 6" xfId="9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321945</xdr:colOff>
      <xdr:row>0</xdr:row>
      <xdr:rowOff>160020</xdr:rowOff>
    </xdr:from>
    <xdr:to>
      <xdr:col>9</xdr:col>
      <xdr:colOff>82840</xdr:colOff>
      <xdr:row>7</xdr:row>
      <xdr:rowOff>22860</xdr:rowOff>
    </xdr:to>
    <xdr:pic>
      <xdr:nvPicPr>
        <xdr:cNvPr id="3" name="Image 2" descr="https://www.lecoindesentrepreneurs.fr/wp-content/uploads/2013/06/calendrier-IS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920" y="160020"/>
          <a:ext cx="4256695" cy="12058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84</xdr:row>
      <xdr:rowOff>0</xdr:rowOff>
    </xdr:from>
    <xdr:to>
      <xdr:col>7</xdr:col>
      <xdr:colOff>9525</xdr:colOff>
      <xdr:row>84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DAA3E3D-27A9-431E-AB62-BD0F40F1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0225" y="15059025"/>
          <a:ext cx="847725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M82"/>
  <sheetViews>
    <sheetView workbookViewId="0">
      <selection activeCell="I20" sqref="I20"/>
    </sheetView>
  </sheetViews>
  <sheetFormatPr baseColWidth="10" defaultRowHeight="15.75"/>
  <cols>
    <col min="1" max="1" width="11" style="140"/>
    <col min="2" max="2" width="14.125" style="140" customWidth="1"/>
    <col min="3" max="3" width="12" style="140" customWidth="1"/>
    <col min="4" max="4" width="13.625" style="140" customWidth="1"/>
    <col min="5" max="5" width="13" style="140" customWidth="1"/>
    <col min="6" max="6" width="11.75" style="140" customWidth="1"/>
    <col min="7" max="8" width="11" style="140"/>
    <col min="9" max="9" width="10.875" style="140" bestFit="1" customWidth="1"/>
    <col min="10" max="257" width="11" style="140"/>
    <col min="258" max="258" width="14.125" style="140" customWidth="1"/>
    <col min="259" max="259" width="10.375" style="140" bestFit="1" customWidth="1"/>
    <col min="260" max="260" width="13.625" style="140" customWidth="1"/>
    <col min="261" max="261" width="11.5" style="140" customWidth="1"/>
    <col min="262" max="262" width="11.75" style="140" customWidth="1"/>
    <col min="263" max="264" width="11" style="140"/>
    <col min="265" max="265" width="10.875" style="140" bestFit="1" customWidth="1"/>
    <col min="266" max="513" width="11" style="140"/>
    <col min="514" max="514" width="14.125" style="140" customWidth="1"/>
    <col min="515" max="515" width="10.375" style="140" bestFit="1" customWidth="1"/>
    <col min="516" max="516" width="13.625" style="140" customWidth="1"/>
    <col min="517" max="517" width="11.5" style="140" customWidth="1"/>
    <col min="518" max="518" width="11.75" style="140" customWidth="1"/>
    <col min="519" max="520" width="11" style="140"/>
    <col min="521" max="521" width="10.875" style="140" bestFit="1" customWidth="1"/>
    <col min="522" max="769" width="11" style="140"/>
    <col min="770" max="770" width="14.125" style="140" customWidth="1"/>
    <col min="771" max="771" width="10.375" style="140" bestFit="1" customWidth="1"/>
    <col min="772" max="772" width="13.625" style="140" customWidth="1"/>
    <col min="773" max="773" width="11.5" style="140" customWidth="1"/>
    <col min="774" max="774" width="11.75" style="140" customWidth="1"/>
    <col min="775" max="776" width="11" style="140"/>
    <col min="777" max="777" width="10.875" style="140" bestFit="1" customWidth="1"/>
    <col min="778" max="1025" width="11" style="140"/>
    <col min="1026" max="1026" width="14.125" style="140" customWidth="1"/>
    <col min="1027" max="1027" width="10.375" style="140" bestFit="1" customWidth="1"/>
    <col min="1028" max="1028" width="13.625" style="140" customWidth="1"/>
    <col min="1029" max="1029" width="11.5" style="140" customWidth="1"/>
    <col min="1030" max="1030" width="11.75" style="140" customWidth="1"/>
    <col min="1031" max="1032" width="11" style="140"/>
    <col min="1033" max="1033" width="10.875" style="140" bestFit="1" customWidth="1"/>
    <col min="1034" max="1281" width="11" style="140"/>
    <col min="1282" max="1282" width="14.125" style="140" customWidth="1"/>
    <col min="1283" max="1283" width="10.375" style="140" bestFit="1" customWidth="1"/>
    <col min="1284" max="1284" width="13.625" style="140" customWidth="1"/>
    <col min="1285" max="1285" width="11.5" style="140" customWidth="1"/>
    <col min="1286" max="1286" width="11.75" style="140" customWidth="1"/>
    <col min="1287" max="1288" width="11" style="140"/>
    <col min="1289" max="1289" width="10.875" style="140" bestFit="1" customWidth="1"/>
    <col min="1290" max="1537" width="11" style="140"/>
    <col min="1538" max="1538" width="14.125" style="140" customWidth="1"/>
    <col min="1539" max="1539" width="10.375" style="140" bestFit="1" customWidth="1"/>
    <col min="1540" max="1540" width="13.625" style="140" customWidth="1"/>
    <col min="1541" max="1541" width="11.5" style="140" customWidth="1"/>
    <col min="1542" max="1542" width="11.75" style="140" customWidth="1"/>
    <col min="1543" max="1544" width="11" style="140"/>
    <col min="1545" max="1545" width="10.875" style="140" bestFit="1" customWidth="1"/>
    <col min="1546" max="1793" width="11" style="140"/>
    <col min="1794" max="1794" width="14.125" style="140" customWidth="1"/>
    <col min="1795" max="1795" width="10.375" style="140" bestFit="1" customWidth="1"/>
    <col min="1796" max="1796" width="13.625" style="140" customWidth="1"/>
    <col min="1797" max="1797" width="11.5" style="140" customWidth="1"/>
    <col min="1798" max="1798" width="11.75" style="140" customWidth="1"/>
    <col min="1799" max="1800" width="11" style="140"/>
    <col min="1801" max="1801" width="10.875" style="140" bestFit="1" customWidth="1"/>
    <col min="1802" max="2049" width="11" style="140"/>
    <col min="2050" max="2050" width="14.125" style="140" customWidth="1"/>
    <col min="2051" max="2051" width="10.375" style="140" bestFit="1" customWidth="1"/>
    <col min="2052" max="2052" width="13.625" style="140" customWidth="1"/>
    <col min="2053" max="2053" width="11.5" style="140" customWidth="1"/>
    <col min="2054" max="2054" width="11.75" style="140" customWidth="1"/>
    <col min="2055" max="2056" width="11" style="140"/>
    <col min="2057" max="2057" width="10.875" style="140" bestFit="1" customWidth="1"/>
    <col min="2058" max="2305" width="11" style="140"/>
    <col min="2306" max="2306" width="14.125" style="140" customWidth="1"/>
    <col min="2307" max="2307" width="10.375" style="140" bestFit="1" customWidth="1"/>
    <col min="2308" max="2308" width="13.625" style="140" customWidth="1"/>
    <col min="2309" max="2309" width="11.5" style="140" customWidth="1"/>
    <col min="2310" max="2310" width="11.75" style="140" customWidth="1"/>
    <col min="2311" max="2312" width="11" style="140"/>
    <col min="2313" max="2313" width="10.875" style="140" bestFit="1" customWidth="1"/>
    <col min="2314" max="2561" width="11" style="140"/>
    <col min="2562" max="2562" width="14.125" style="140" customWidth="1"/>
    <col min="2563" max="2563" width="10.375" style="140" bestFit="1" customWidth="1"/>
    <col min="2564" max="2564" width="13.625" style="140" customWidth="1"/>
    <col min="2565" max="2565" width="11.5" style="140" customWidth="1"/>
    <col min="2566" max="2566" width="11.75" style="140" customWidth="1"/>
    <col min="2567" max="2568" width="11" style="140"/>
    <col min="2569" max="2569" width="10.875" style="140" bestFit="1" customWidth="1"/>
    <col min="2570" max="2817" width="11" style="140"/>
    <col min="2818" max="2818" width="14.125" style="140" customWidth="1"/>
    <col min="2819" max="2819" width="10.375" style="140" bestFit="1" customWidth="1"/>
    <col min="2820" max="2820" width="13.625" style="140" customWidth="1"/>
    <col min="2821" max="2821" width="11.5" style="140" customWidth="1"/>
    <col min="2822" max="2822" width="11.75" style="140" customWidth="1"/>
    <col min="2823" max="2824" width="11" style="140"/>
    <col min="2825" max="2825" width="10.875" style="140" bestFit="1" customWidth="1"/>
    <col min="2826" max="3073" width="11" style="140"/>
    <col min="3074" max="3074" width="14.125" style="140" customWidth="1"/>
    <col min="3075" max="3075" width="10.375" style="140" bestFit="1" customWidth="1"/>
    <col min="3076" max="3076" width="13.625" style="140" customWidth="1"/>
    <col min="3077" max="3077" width="11.5" style="140" customWidth="1"/>
    <col min="3078" max="3078" width="11.75" style="140" customWidth="1"/>
    <col min="3079" max="3080" width="11" style="140"/>
    <col min="3081" max="3081" width="10.875" style="140" bestFit="1" customWidth="1"/>
    <col min="3082" max="3329" width="11" style="140"/>
    <col min="3330" max="3330" width="14.125" style="140" customWidth="1"/>
    <col min="3331" max="3331" width="10.375" style="140" bestFit="1" customWidth="1"/>
    <col min="3332" max="3332" width="13.625" style="140" customWidth="1"/>
    <col min="3333" max="3333" width="11.5" style="140" customWidth="1"/>
    <col min="3334" max="3334" width="11.75" style="140" customWidth="1"/>
    <col min="3335" max="3336" width="11" style="140"/>
    <col min="3337" max="3337" width="10.875" style="140" bestFit="1" customWidth="1"/>
    <col min="3338" max="3585" width="11" style="140"/>
    <col min="3586" max="3586" width="14.125" style="140" customWidth="1"/>
    <col min="3587" max="3587" width="10.375" style="140" bestFit="1" customWidth="1"/>
    <col min="3588" max="3588" width="13.625" style="140" customWidth="1"/>
    <col min="3589" max="3589" width="11.5" style="140" customWidth="1"/>
    <col min="3590" max="3590" width="11.75" style="140" customWidth="1"/>
    <col min="3591" max="3592" width="11" style="140"/>
    <col min="3593" max="3593" width="10.875" style="140" bestFit="1" customWidth="1"/>
    <col min="3594" max="3841" width="11" style="140"/>
    <col min="3842" max="3842" width="14.125" style="140" customWidth="1"/>
    <col min="3843" max="3843" width="10.375" style="140" bestFit="1" customWidth="1"/>
    <col min="3844" max="3844" width="13.625" style="140" customWidth="1"/>
    <col min="3845" max="3845" width="11.5" style="140" customWidth="1"/>
    <col min="3846" max="3846" width="11.75" style="140" customWidth="1"/>
    <col min="3847" max="3848" width="11" style="140"/>
    <col min="3849" max="3849" width="10.875" style="140" bestFit="1" customWidth="1"/>
    <col min="3850" max="4097" width="11" style="140"/>
    <col min="4098" max="4098" width="14.125" style="140" customWidth="1"/>
    <col min="4099" max="4099" width="10.375" style="140" bestFit="1" customWidth="1"/>
    <col min="4100" max="4100" width="13.625" style="140" customWidth="1"/>
    <col min="4101" max="4101" width="11.5" style="140" customWidth="1"/>
    <col min="4102" max="4102" width="11.75" style="140" customWidth="1"/>
    <col min="4103" max="4104" width="11" style="140"/>
    <col min="4105" max="4105" width="10.875" style="140" bestFit="1" customWidth="1"/>
    <col min="4106" max="4353" width="11" style="140"/>
    <col min="4354" max="4354" width="14.125" style="140" customWidth="1"/>
    <col min="4355" max="4355" width="10.375" style="140" bestFit="1" customWidth="1"/>
    <col min="4356" max="4356" width="13.625" style="140" customWidth="1"/>
    <col min="4357" max="4357" width="11.5" style="140" customWidth="1"/>
    <col min="4358" max="4358" width="11.75" style="140" customWidth="1"/>
    <col min="4359" max="4360" width="11" style="140"/>
    <col min="4361" max="4361" width="10.875" style="140" bestFit="1" customWidth="1"/>
    <col min="4362" max="4609" width="11" style="140"/>
    <col min="4610" max="4610" width="14.125" style="140" customWidth="1"/>
    <col min="4611" max="4611" width="10.375" style="140" bestFit="1" customWidth="1"/>
    <col min="4612" max="4612" width="13.625" style="140" customWidth="1"/>
    <col min="4613" max="4613" width="11.5" style="140" customWidth="1"/>
    <col min="4614" max="4614" width="11.75" style="140" customWidth="1"/>
    <col min="4615" max="4616" width="11" style="140"/>
    <col min="4617" max="4617" width="10.875" style="140" bestFit="1" customWidth="1"/>
    <col min="4618" max="4865" width="11" style="140"/>
    <col min="4866" max="4866" width="14.125" style="140" customWidth="1"/>
    <col min="4867" max="4867" width="10.375" style="140" bestFit="1" customWidth="1"/>
    <col min="4868" max="4868" width="13.625" style="140" customWidth="1"/>
    <col min="4869" max="4869" width="11.5" style="140" customWidth="1"/>
    <col min="4870" max="4870" width="11.75" style="140" customWidth="1"/>
    <col min="4871" max="4872" width="11" style="140"/>
    <col min="4873" max="4873" width="10.875" style="140" bestFit="1" customWidth="1"/>
    <col min="4874" max="5121" width="11" style="140"/>
    <col min="5122" max="5122" width="14.125" style="140" customWidth="1"/>
    <col min="5123" max="5123" width="10.375" style="140" bestFit="1" customWidth="1"/>
    <col min="5124" max="5124" width="13.625" style="140" customWidth="1"/>
    <col min="5125" max="5125" width="11.5" style="140" customWidth="1"/>
    <col min="5126" max="5126" width="11.75" style="140" customWidth="1"/>
    <col min="5127" max="5128" width="11" style="140"/>
    <col min="5129" max="5129" width="10.875" style="140" bestFit="1" customWidth="1"/>
    <col min="5130" max="5377" width="11" style="140"/>
    <col min="5378" max="5378" width="14.125" style="140" customWidth="1"/>
    <col min="5379" max="5379" width="10.375" style="140" bestFit="1" customWidth="1"/>
    <col min="5380" max="5380" width="13.625" style="140" customWidth="1"/>
    <col min="5381" max="5381" width="11.5" style="140" customWidth="1"/>
    <col min="5382" max="5382" width="11.75" style="140" customWidth="1"/>
    <col min="5383" max="5384" width="11" style="140"/>
    <col min="5385" max="5385" width="10.875" style="140" bestFit="1" customWidth="1"/>
    <col min="5386" max="5633" width="11" style="140"/>
    <col min="5634" max="5634" width="14.125" style="140" customWidth="1"/>
    <col min="5635" max="5635" width="10.375" style="140" bestFit="1" customWidth="1"/>
    <col min="5636" max="5636" width="13.625" style="140" customWidth="1"/>
    <col min="5637" max="5637" width="11.5" style="140" customWidth="1"/>
    <col min="5638" max="5638" width="11.75" style="140" customWidth="1"/>
    <col min="5639" max="5640" width="11" style="140"/>
    <col min="5641" max="5641" width="10.875" style="140" bestFit="1" customWidth="1"/>
    <col min="5642" max="5889" width="11" style="140"/>
    <col min="5890" max="5890" width="14.125" style="140" customWidth="1"/>
    <col min="5891" max="5891" width="10.375" style="140" bestFit="1" customWidth="1"/>
    <col min="5892" max="5892" width="13.625" style="140" customWidth="1"/>
    <col min="5893" max="5893" width="11.5" style="140" customWidth="1"/>
    <col min="5894" max="5894" width="11.75" style="140" customWidth="1"/>
    <col min="5895" max="5896" width="11" style="140"/>
    <col min="5897" max="5897" width="10.875" style="140" bestFit="1" customWidth="1"/>
    <col min="5898" max="6145" width="11" style="140"/>
    <col min="6146" max="6146" width="14.125" style="140" customWidth="1"/>
    <col min="6147" max="6147" width="10.375" style="140" bestFit="1" customWidth="1"/>
    <col min="6148" max="6148" width="13.625" style="140" customWidth="1"/>
    <col min="6149" max="6149" width="11.5" style="140" customWidth="1"/>
    <col min="6150" max="6150" width="11.75" style="140" customWidth="1"/>
    <col min="6151" max="6152" width="11" style="140"/>
    <col min="6153" max="6153" width="10.875" style="140" bestFit="1" customWidth="1"/>
    <col min="6154" max="6401" width="11" style="140"/>
    <col min="6402" max="6402" width="14.125" style="140" customWidth="1"/>
    <col min="6403" max="6403" width="10.375" style="140" bestFit="1" customWidth="1"/>
    <col min="6404" max="6404" width="13.625" style="140" customWidth="1"/>
    <col min="6405" max="6405" width="11.5" style="140" customWidth="1"/>
    <col min="6406" max="6406" width="11.75" style="140" customWidth="1"/>
    <col min="6407" max="6408" width="11" style="140"/>
    <col min="6409" max="6409" width="10.875" style="140" bestFit="1" customWidth="1"/>
    <col min="6410" max="6657" width="11" style="140"/>
    <col min="6658" max="6658" width="14.125" style="140" customWidth="1"/>
    <col min="6659" max="6659" width="10.375" style="140" bestFit="1" customWidth="1"/>
    <col min="6660" max="6660" width="13.625" style="140" customWidth="1"/>
    <col min="6661" max="6661" width="11.5" style="140" customWidth="1"/>
    <col min="6662" max="6662" width="11.75" style="140" customWidth="1"/>
    <col min="6663" max="6664" width="11" style="140"/>
    <col min="6665" max="6665" width="10.875" style="140" bestFit="1" customWidth="1"/>
    <col min="6666" max="6913" width="11" style="140"/>
    <col min="6914" max="6914" width="14.125" style="140" customWidth="1"/>
    <col min="6915" max="6915" width="10.375" style="140" bestFit="1" customWidth="1"/>
    <col min="6916" max="6916" width="13.625" style="140" customWidth="1"/>
    <col min="6917" max="6917" width="11.5" style="140" customWidth="1"/>
    <col min="6918" max="6918" width="11.75" style="140" customWidth="1"/>
    <col min="6919" max="6920" width="11" style="140"/>
    <col min="6921" max="6921" width="10.875" style="140" bestFit="1" customWidth="1"/>
    <col min="6922" max="7169" width="11" style="140"/>
    <col min="7170" max="7170" width="14.125" style="140" customWidth="1"/>
    <col min="7171" max="7171" width="10.375" style="140" bestFit="1" customWidth="1"/>
    <col min="7172" max="7172" width="13.625" style="140" customWidth="1"/>
    <col min="7173" max="7173" width="11.5" style="140" customWidth="1"/>
    <col min="7174" max="7174" width="11.75" style="140" customWidth="1"/>
    <col min="7175" max="7176" width="11" style="140"/>
    <col min="7177" max="7177" width="10.875" style="140" bestFit="1" customWidth="1"/>
    <col min="7178" max="7425" width="11" style="140"/>
    <col min="7426" max="7426" width="14.125" style="140" customWidth="1"/>
    <col min="7427" max="7427" width="10.375" style="140" bestFit="1" customWidth="1"/>
    <col min="7428" max="7428" width="13.625" style="140" customWidth="1"/>
    <col min="7429" max="7429" width="11.5" style="140" customWidth="1"/>
    <col min="7430" max="7430" width="11.75" style="140" customWidth="1"/>
    <col min="7431" max="7432" width="11" style="140"/>
    <col min="7433" max="7433" width="10.875" style="140" bestFit="1" customWidth="1"/>
    <col min="7434" max="7681" width="11" style="140"/>
    <col min="7682" max="7682" width="14.125" style="140" customWidth="1"/>
    <col min="7683" max="7683" width="10.375" style="140" bestFit="1" customWidth="1"/>
    <col min="7684" max="7684" width="13.625" style="140" customWidth="1"/>
    <col min="7685" max="7685" width="11.5" style="140" customWidth="1"/>
    <col min="7686" max="7686" width="11.75" style="140" customWidth="1"/>
    <col min="7687" max="7688" width="11" style="140"/>
    <col min="7689" max="7689" width="10.875" style="140" bestFit="1" customWidth="1"/>
    <col min="7690" max="7937" width="11" style="140"/>
    <col min="7938" max="7938" width="14.125" style="140" customWidth="1"/>
    <col min="7939" max="7939" width="10.375" style="140" bestFit="1" customWidth="1"/>
    <col min="7940" max="7940" width="13.625" style="140" customWidth="1"/>
    <col min="7941" max="7941" width="11.5" style="140" customWidth="1"/>
    <col min="7942" max="7942" width="11.75" style="140" customWidth="1"/>
    <col min="7943" max="7944" width="11" style="140"/>
    <col min="7945" max="7945" width="10.875" style="140" bestFit="1" customWidth="1"/>
    <col min="7946" max="8193" width="11" style="140"/>
    <col min="8194" max="8194" width="14.125" style="140" customWidth="1"/>
    <col min="8195" max="8195" width="10.375" style="140" bestFit="1" customWidth="1"/>
    <col min="8196" max="8196" width="13.625" style="140" customWidth="1"/>
    <col min="8197" max="8197" width="11.5" style="140" customWidth="1"/>
    <col min="8198" max="8198" width="11.75" style="140" customWidth="1"/>
    <col min="8199" max="8200" width="11" style="140"/>
    <col min="8201" max="8201" width="10.875" style="140" bestFit="1" customWidth="1"/>
    <col min="8202" max="8449" width="11" style="140"/>
    <col min="8450" max="8450" width="14.125" style="140" customWidth="1"/>
    <col min="8451" max="8451" width="10.375" style="140" bestFit="1" customWidth="1"/>
    <col min="8452" max="8452" width="13.625" style="140" customWidth="1"/>
    <col min="8453" max="8453" width="11.5" style="140" customWidth="1"/>
    <col min="8454" max="8454" width="11.75" style="140" customWidth="1"/>
    <col min="8455" max="8456" width="11" style="140"/>
    <col min="8457" max="8457" width="10.875" style="140" bestFit="1" customWidth="1"/>
    <col min="8458" max="8705" width="11" style="140"/>
    <col min="8706" max="8706" width="14.125" style="140" customWidth="1"/>
    <col min="8707" max="8707" width="10.375" style="140" bestFit="1" customWidth="1"/>
    <col min="8708" max="8708" width="13.625" style="140" customWidth="1"/>
    <col min="8709" max="8709" width="11.5" style="140" customWidth="1"/>
    <col min="8710" max="8710" width="11.75" style="140" customWidth="1"/>
    <col min="8711" max="8712" width="11" style="140"/>
    <col min="8713" max="8713" width="10.875" style="140" bestFit="1" customWidth="1"/>
    <col min="8714" max="8961" width="11" style="140"/>
    <col min="8962" max="8962" width="14.125" style="140" customWidth="1"/>
    <col min="8963" max="8963" width="10.375" style="140" bestFit="1" customWidth="1"/>
    <col min="8964" max="8964" width="13.625" style="140" customWidth="1"/>
    <col min="8965" max="8965" width="11.5" style="140" customWidth="1"/>
    <col min="8966" max="8966" width="11.75" style="140" customWidth="1"/>
    <col min="8967" max="8968" width="11" style="140"/>
    <col min="8969" max="8969" width="10.875" style="140" bestFit="1" customWidth="1"/>
    <col min="8970" max="9217" width="11" style="140"/>
    <col min="9218" max="9218" width="14.125" style="140" customWidth="1"/>
    <col min="9219" max="9219" width="10.375" style="140" bestFit="1" customWidth="1"/>
    <col min="9220" max="9220" width="13.625" style="140" customWidth="1"/>
    <col min="9221" max="9221" width="11.5" style="140" customWidth="1"/>
    <col min="9222" max="9222" width="11.75" style="140" customWidth="1"/>
    <col min="9223" max="9224" width="11" style="140"/>
    <col min="9225" max="9225" width="10.875" style="140" bestFit="1" customWidth="1"/>
    <col min="9226" max="9473" width="11" style="140"/>
    <col min="9474" max="9474" width="14.125" style="140" customWidth="1"/>
    <col min="9475" max="9475" width="10.375" style="140" bestFit="1" customWidth="1"/>
    <col min="9476" max="9476" width="13.625" style="140" customWidth="1"/>
    <col min="9477" max="9477" width="11.5" style="140" customWidth="1"/>
    <col min="9478" max="9478" width="11.75" style="140" customWidth="1"/>
    <col min="9479" max="9480" width="11" style="140"/>
    <col min="9481" max="9481" width="10.875" style="140" bestFit="1" customWidth="1"/>
    <col min="9482" max="9729" width="11" style="140"/>
    <col min="9730" max="9730" width="14.125" style="140" customWidth="1"/>
    <col min="9731" max="9731" width="10.375" style="140" bestFit="1" customWidth="1"/>
    <col min="9732" max="9732" width="13.625" style="140" customWidth="1"/>
    <col min="9733" max="9733" width="11.5" style="140" customWidth="1"/>
    <col min="9734" max="9734" width="11.75" style="140" customWidth="1"/>
    <col min="9735" max="9736" width="11" style="140"/>
    <col min="9737" max="9737" width="10.875" style="140" bestFit="1" customWidth="1"/>
    <col min="9738" max="9985" width="11" style="140"/>
    <col min="9986" max="9986" width="14.125" style="140" customWidth="1"/>
    <col min="9987" max="9987" width="10.375" style="140" bestFit="1" customWidth="1"/>
    <col min="9988" max="9988" width="13.625" style="140" customWidth="1"/>
    <col min="9989" max="9989" width="11.5" style="140" customWidth="1"/>
    <col min="9990" max="9990" width="11.75" style="140" customWidth="1"/>
    <col min="9991" max="9992" width="11" style="140"/>
    <col min="9993" max="9993" width="10.875" style="140" bestFit="1" customWidth="1"/>
    <col min="9994" max="10241" width="11" style="140"/>
    <col min="10242" max="10242" width="14.125" style="140" customWidth="1"/>
    <col min="10243" max="10243" width="10.375" style="140" bestFit="1" customWidth="1"/>
    <col min="10244" max="10244" width="13.625" style="140" customWidth="1"/>
    <col min="10245" max="10245" width="11.5" style="140" customWidth="1"/>
    <col min="10246" max="10246" width="11.75" style="140" customWidth="1"/>
    <col min="10247" max="10248" width="11" style="140"/>
    <col min="10249" max="10249" width="10.875" style="140" bestFit="1" customWidth="1"/>
    <col min="10250" max="10497" width="11" style="140"/>
    <col min="10498" max="10498" width="14.125" style="140" customWidth="1"/>
    <col min="10499" max="10499" width="10.375" style="140" bestFit="1" customWidth="1"/>
    <col min="10500" max="10500" width="13.625" style="140" customWidth="1"/>
    <col min="10501" max="10501" width="11.5" style="140" customWidth="1"/>
    <col min="10502" max="10502" width="11.75" style="140" customWidth="1"/>
    <col min="10503" max="10504" width="11" style="140"/>
    <col min="10505" max="10505" width="10.875" style="140" bestFit="1" customWidth="1"/>
    <col min="10506" max="10753" width="11" style="140"/>
    <col min="10754" max="10754" width="14.125" style="140" customWidth="1"/>
    <col min="10755" max="10755" width="10.375" style="140" bestFit="1" customWidth="1"/>
    <col min="10756" max="10756" width="13.625" style="140" customWidth="1"/>
    <col min="10757" max="10757" width="11.5" style="140" customWidth="1"/>
    <col min="10758" max="10758" width="11.75" style="140" customWidth="1"/>
    <col min="10759" max="10760" width="11" style="140"/>
    <col min="10761" max="10761" width="10.875" style="140" bestFit="1" customWidth="1"/>
    <col min="10762" max="11009" width="11" style="140"/>
    <col min="11010" max="11010" width="14.125" style="140" customWidth="1"/>
    <col min="11011" max="11011" width="10.375" style="140" bestFit="1" customWidth="1"/>
    <col min="11012" max="11012" width="13.625" style="140" customWidth="1"/>
    <col min="11013" max="11013" width="11.5" style="140" customWidth="1"/>
    <col min="11014" max="11014" width="11.75" style="140" customWidth="1"/>
    <col min="11015" max="11016" width="11" style="140"/>
    <col min="11017" max="11017" width="10.875" style="140" bestFit="1" customWidth="1"/>
    <col min="11018" max="11265" width="11" style="140"/>
    <col min="11266" max="11266" width="14.125" style="140" customWidth="1"/>
    <col min="11267" max="11267" width="10.375" style="140" bestFit="1" customWidth="1"/>
    <col min="11268" max="11268" width="13.625" style="140" customWidth="1"/>
    <col min="11269" max="11269" width="11.5" style="140" customWidth="1"/>
    <col min="11270" max="11270" width="11.75" style="140" customWidth="1"/>
    <col min="11271" max="11272" width="11" style="140"/>
    <col min="11273" max="11273" width="10.875" style="140" bestFit="1" customWidth="1"/>
    <col min="11274" max="11521" width="11" style="140"/>
    <col min="11522" max="11522" width="14.125" style="140" customWidth="1"/>
    <col min="11523" max="11523" width="10.375" style="140" bestFit="1" customWidth="1"/>
    <col min="11524" max="11524" width="13.625" style="140" customWidth="1"/>
    <col min="11525" max="11525" width="11.5" style="140" customWidth="1"/>
    <col min="11526" max="11526" width="11.75" style="140" customWidth="1"/>
    <col min="11527" max="11528" width="11" style="140"/>
    <col min="11529" max="11529" width="10.875" style="140" bestFit="1" customWidth="1"/>
    <col min="11530" max="11777" width="11" style="140"/>
    <col min="11778" max="11778" width="14.125" style="140" customWidth="1"/>
    <col min="11779" max="11779" width="10.375" style="140" bestFit="1" customWidth="1"/>
    <col min="11780" max="11780" width="13.625" style="140" customWidth="1"/>
    <col min="11781" max="11781" width="11.5" style="140" customWidth="1"/>
    <col min="11782" max="11782" width="11.75" style="140" customWidth="1"/>
    <col min="11783" max="11784" width="11" style="140"/>
    <col min="11785" max="11785" width="10.875" style="140" bestFit="1" customWidth="1"/>
    <col min="11786" max="12033" width="11" style="140"/>
    <col min="12034" max="12034" width="14.125" style="140" customWidth="1"/>
    <col min="12035" max="12035" width="10.375" style="140" bestFit="1" customWidth="1"/>
    <col min="12036" max="12036" width="13.625" style="140" customWidth="1"/>
    <col min="12037" max="12037" width="11.5" style="140" customWidth="1"/>
    <col min="12038" max="12038" width="11.75" style="140" customWidth="1"/>
    <col min="12039" max="12040" width="11" style="140"/>
    <col min="12041" max="12041" width="10.875" style="140" bestFit="1" customWidth="1"/>
    <col min="12042" max="12289" width="11" style="140"/>
    <col min="12290" max="12290" width="14.125" style="140" customWidth="1"/>
    <col min="12291" max="12291" width="10.375" style="140" bestFit="1" customWidth="1"/>
    <col min="12292" max="12292" width="13.625" style="140" customWidth="1"/>
    <col min="12293" max="12293" width="11.5" style="140" customWidth="1"/>
    <col min="12294" max="12294" width="11.75" style="140" customWidth="1"/>
    <col min="12295" max="12296" width="11" style="140"/>
    <col min="12297" max="12297" width="10.875" style="140" bestFit="1" customWidth="1"/>
    <col min="12298" max="12545" width="11" style="140"/>
    <col min="12546" max="12546" width="14.125" style="140" customWidth="1"/>
    <col min="12547" max="12547" width="10.375" style="140" bestFit="1" customWidth="1"/>
    <col min="12548" max="12548" width="13.625" style="140" customWidth="1"/>
    <col min="12549" max="12549" width="11.5" style="140" customWidth="1"/>
    <col min="12550" max="12550" width="11.75" style="140" customWidth="1"/>
    <col min="12551" max="12552" width="11" style="140"/>
    <col min="12553" max="12553" width="10.875" style="140" bestFit="1" customWidth="1"/>
    <col min="12554" max="12801" width="11" style="140"/>
    <col min="12802" max="12802" width="14.125" style="140" customWidth="1"/>
    <col min="12803" max="12803" width="10.375" style="140" bestFit="1" customWidth="1"/>
    <col min="12804" max="12804" width="13.625" style="140" customWidth="1"/>
    <col min="12805" max="12805" width="11.5" style="140" customWidth="1"/>
    <col min="12806" max="12806" width="11.75" style="140" customWidth="1"/>
    <col min="12807" max="12808" width="11" style="140"/>
    <col min="12809" max="12809" width="10.875" style="140" bestFit="1" customWidth="1"/>
    <col min="12810" max="13057" width="11" style="140"/>
    <col min="13058" max="13058" width="14.125" style="140" customWidth="1"/>
    <col min="13059" max="13059" width="10.375" style="140" bestFit="1" customWidth="1"/>
    <col min="13060" max="13060" width="13.625" style="140" customWidth="1"/>
    <col min="13061" max="13061" width="11.5" style="140" customWidth="1"/>
    <col min="13062" max="13062" width="11.75" style="140" customWidth="1"/>
    <col min="13063" max="13064" width="11" style="140"/>
    <col min="13065" max="13065" width="10.875" style="140" bestFit="1" customWidth="1"/>
    <col min="13066" max="13313" width="11" style="140"/>
    <col min="13314" max="13314" width="14.125" style="140" customWidth="1"/>
    <col min="13315" max="13315" width="10.375" style="140" bestFit="1" customWidth="1"/>
    <col min="13316" max="13316" width="13.625" style="140" customWidth="1"/>
    <col min="13317" max="13317" width="11.5" style="140" customWidth="1"/>
    <col min="13318" max="13318" width="11.75" style="140" customWidth="1"/>
    <col min="13319" max="13320" width="11" style="140"/>
    <col min="13321" max="13321" width="10.875" style="140" bestFit="1" customWidth="1"/>
    <col min="13322" max="13569" width="11" style="140"/>
    <col min="13570" max="13570" width="14.125" style="140" customWidth="1"/>
    <col min="13571" max="13571" width="10.375" style="140" bestFit="1" customWidth="1"/>
    <col min="13572" max="13572" width="13.625" style="140" customWidth="1"/>
    <col min="13573" max="13573" width="11.5" style="140" customWidth="1"/>
    <col min="13574" max="13574" width="11.75" style="140" customWidth="1"/>
    <col min="13575" max="13576" width="11" style="140"/>
    <col min="13577" max="13577" width="10.875" style="140" bestFit="1" customWidth="1"/>
    <col min="13578" max="13825" width="11" style="140"/>
    <col min="13826" max="13826" width="14.125" style="140" customWidth="1"/>
    <col min="13827" max="13827" width="10.375" style="140" bestFit="1" customWidth="1"/>
    <col min="13828" max="13828" width="13.625" style="140" customWidth="1"/>
    <col min="13829" max="13829" width="11.5" style="140" customWidth="1"/>
    <col min="13830" max="13830" width="11.75" style="140" customWidth="1"/>
    <col min="13831" max="13832" width="11" style="140"/>
    <col min="13833" max="13833" width="10.875" style="140" bestFit="1" customWidth="1"/>
    <col min="13834" max="14081" width="11" style="140"/>
    <col min="14082" max="14082" width="14.125" style="140" customWidth="1"/>
    <col min="14083" max="14083" width="10.375" style="140" bestFit="1" customWidth="1"/>
    <col min="14084" max="14084" width="13.625" style="140" customWidth="1"/>
    <col min="14085" max="14085" width="11.5" style="140" customWidth="1"/>
    <col min="14086" max="14086" width="11.75" style="140" customWidth="1"/>
    <col min="14087" max="14088" width="11" style="140"/>
    <col min="14089" max="14089" width="10.875" style="140" bestFit="1" customWidth="1"/>
    <col min="14090" max="14337" width="11" style="140"/>
    <col min="14338" max="14338" width="14.125" style="140" customWidth="1"/>
    <col min="14339" max="14339" width="10.375" style="140" bestFit="1" customWidth="1"/>
    <col min="14340" max="14340" width="13.625" style="140" customWidth="1"/>
    <col min="14341" max="14341" width="11.5" style="140" customWidth="1"/>
    <col min="14342" max="14342" width="11.75" style="140" customWidth="1"/>
    <col min="14343" max="14344" width="11" style="140"/>
    <col min="14345" max="14345" width="10.875" style="140" bestFit="1" customWidth="1"/>
    <col min="14346" max="14593" width="11" style="140"/>
    <col min="14594" max="14594" width="14.125" style="140" customWidth="1"/>
    <col min="14595" max="14595" width="10.375" style="140" bestFit="1" customWidth="1"/>
    <col min="14596" max="14596" width="13.625" style="140" customWidth="1"/>
    <col min="14597" max="14597" width="11.5" style="140" customWidth="1"/>
    <col min="14598" max="14598" width="11.75" style="140" customWidth="1"/>
    <col min="14599" max="14600" width="11" style="140"/>
    <col min="14601" max="14601" width="10.875" style="140" bestFit="1" customWidth="1"/>
    <col min="14602" max="14849" width="11" style="140"/>
    <col min="14850" max="14850" width="14.125" style="140" customWidth="1"/>
    <col min="14851" max="14851" width="10.375" style="140" bestFit="1" customWidth="1"/>
    <col min="14852" max="14852" width="13.625" style="140" customWidth="1"/>
    <col min="14853" max="14853" width="11.5" style="140" customWidth="1"/>
    <col min="14854" max="14854" width="11.75" style="140" customWidth="1"/>
    <col min="14855" max="14856" width="11" style="140"/>
    <col min="14857" max="14857" width="10.875" style="140" bestFit="1" customWidth="1"/>
    <col min="14858" max="15105" width="11" style="140"/>
    <col min="15106" max="15106" width="14.125" style="140" customWidth="1"/>
    <col min="15107" max="15107" width="10.375" style="140" bestFit="1" customWidth="1"/>
    <col min="15108" max="15108" width="13.625" style="140" customWidth="1"/>
    <col min="15109" max="15109" width="11.5" style="140" customWidth="1"/>
    <col min="15110" max="15110" width="11.75" style="140" customWidth="1"/>
    <col min="15111" max="15112" width="11" style="140"/>
    <col min="15113" max="15113" width="10.875" style="140" bestFit="1" customWidth="1"/>
    <col min="15114" max="15361" width="11" style="140"/>
    <col min="15362" max="15362" width="14.125" style="140" customWidth="1"/>
    <col min="15363" max="15363" width="10.375" style="140" bestFit="1" customWidth="1"/>
    <col min="15364" max="15364" width="13.625" style="140" customWidth="1"/>
    <col min="15365" max="15365" width="11.5" style="140" customWidth="1"/>
    <col min="15366" max="15366" width="11.75" style="140" customWidth="1"/>
    <col min="15367" max="15368" width="11" style="140"/>
    <col min="15369" max="15369" width="10.875" style="140" bestFit="1" customWidth="1"/>
    <col min="15370" max="15617" width="11" style="140"/>
    <col min="15618" max="15618" width="14.125" style="140" customWidth="1"/>
    <col min="15619" max="15619" width="10.375" style="140" bestFit="1" customWidth="1"/>
    <col min="15620" max="15620" width="13.625" style="140" customWidth="1"/>
    <col min="15621" max="15621" width="11.5" style="140" customWidth="1"/>
    <col min="15622" max="15622" width="11.75" style="140" customWidth="1"/>
    <col min="15623" max="15624" width="11" style="140"/>
    <col min="15625" max="15625" width="10.875" style="140" bestFit="1" customWidth="1"/>
    <col min="15626" max="15873" width="11" style="140"/>
    <col min="15874" max="15874" width="14.125" style="140" customWidth="1"/>
    <col min="15875" max="15875" width="10.375" style="140" bestFit="1" customWidth="1"/>
    <col min="15876" max="15876" width="13.625" style="140" customWidth="1"/>
    <col min="15877" max="15877" width="11.5" style="140" customWidth="1"/>
    <col min="15878" max="15878" width="11.75" style="140" customWidth="1"/>
    <col min="15879" max="15880" width="11" style="140"/>
    <col min="15881" max="15881" width="10.875" style="140" bestFit="1" customWidth="1"/>
    <col min="15882" max="16129" width="11" style="140"/>
    <col min="16130" max="16130" width="14.125" style="140" customWidth="1"/>
    <col min="16131" max="16131" width="10.375" style="140" bestFit="1" customWidth="1"/>
    <col min="16132" max="16132" width="13.625" style="140" customWidth="1"/>
    <col min="16133" max="16133" width="11.5" style="140" customWidth="1"/>
    <col min="16134" max="16134" width="11.75" style="140" customWidth="1"/>
    <col min="16135" max="16136" width="11" style="140"/>
    <col min="16137" max="16137" width="10.875" style="140" bestFit="1" customWidth="1"/>
    <col min="16138" max="16384" width="11" style="140"/>
  </cols>
  <sheetData>
    <row r="1" spans="1:13">
      <c r="A1" s="140" t="s">
        <v>11</v>
      </c>
    </row>
    <row r="4" spans="1:13" ht="16.5" thickBot="1"/>
    <row r="5" spans="1:13">
      <c r="A5" s="216" t="s">
        <v>25</v>
      </c>
      <c r="B5" s="217"/>
      <c r="C5" s="141">
        <v>50000</v>
      </c>
      <c r="D5" s="217" t="s">
        <v>26</v>
      </c>
      <c r="E5" s="217"/>
      <c r="F5" s="142">
        <v>100</v>
      </c>
      <c r="H5" s="216" t="s">
        <v>25</v>
      </c>
      <c r="I5" s="217"/>
      <c r="J5" s="141">
        <v>50000</v>
      </c>
      <c r="K5" s="217" t="s">
        <v>26</v>
      </c>
      <c r="L5" s="217"/>
      <c r="M5" s="142">
        <v>0</v>
      </c>
    </row>
    <row r="6" spans="1:13">
      <c r="A6" s="218" t="s">
        <v>27</v>
      </c>
      <c r="B6" s="219"/>
      <c r="C6" s="143">
        <v>6</v>
      </c>
      <c r="D6" s="219" t="s">
        <v>28</v>
      </c>
      <c r="E6" s="219"/>
      <c r="F6" s="144">
        <v>4.1000000000000002E-2</v>
      </c>
      <c r="H6" s="218" t="s">
        <v>27</v>
      </c>
      <c r="I6" s="219"/>
      <c r="J6" s="143">
        <v>6</v>
      </c>
      <c r="K6" s="219" t="s">
        <v>70</v>
      </c>
      <c r="L6" s="219"/>
      <c r="M6" s="144">
        <v>4.1000000000000002E-2</v>
      </c>
    </row>
    <row r="7" spans="1:13" ht="16.5" thickBot="1">
      <c r="A7" s="218" t="s">
        <v>29</v>
      </c>
      <c r="B7" s="219"/>
      <c r="C7" s="145">
        <f>-PMT(F6/12,72,C5)</f>
        <v>784.53938436718386</v>
      </c>
      <c r="D7" s="219" t="s">
        <v>30</v>
      </c>
      <c r="E7" s="219"/>
      <c r="F7" s="146"/>
      <c r="G7" s="147"/>
      <c r="H7" s="220" t="s">
        <v>29</v>
      </c>
      <c r="I7" s="221"/>
      <c r="J7" s="145">
        <f>-PMT(M6/12,72,J5)</f>
        <v>784.53938436718386</v>
      </c>
      <c r="K7" s="221" t="s">
        <v>38</v>
      </c>
      <c r="L7" s="221"/>
      <c r="M7" s="148">
        <v>41897</v>
      </c>
    </row>
    <row r="8" spans="1:13" ht="16.5" thickBot="1">
      <c r="A8" s="220" t="s">
        <v>31</v>
      </c>
      <c r="B8" s="221"/>
      <c r="C8" s="149">
        <v>72</v>
      </c>
      <c r="D8" s="221" t="s">
        <v>38</v>
      </c>
      <c r="E8" s="221"/>
      <c r="F8" s="148">
        <v>42750</v>
      </c>
    </row>
    <row r="9" spans="1:13" ht="16.5" thickBot="1"/>
    <row r="10" spans="1:13" s="155" customFormat="1" ht="12.75">
      <c r="A10" s="150" t="s">
        <v>32</v>
      </c>
      <c r="B10" s="151" t="s">
        <v>33</v>
      </c>
      <c r="C10" s="152" t="s">
        <v>34</v>
      </c>
      <c r="D10" s="153" t="s">
        <v>35</v>
      </c>
      <c r="E10" s="152" t="s">
        <v>36</v>
      </c>
      <c r="F10" s="154" t="s">
        <v>37</v>
      </c>
    </row>
    <row r="11" spans="1:13">
      <c r="A11" s="156">
        <f>+F8+31</f>
        <v>42781</v>
      </c>
      <c r="B11" s="157">
        <f>C5</f>
        <v>50000</v>
      </c>
      <c r="C11" s="157">
        <f>B11*$F$6/12</f>
        <v>170.83333333333334</v>
      </c>
      <c r="D11" s="157">
        <f>E11-C11</f>
        <v>613.70605103385049</v>
      </c>
      <c r="E11" s="158">
        <f>$C$7</f>
        <v>784.53938436718386</v>
      </c>
      <c r="F11" s="157">
        <f>B11-D11</f>
        <v>49386.293948966151</v>
      </c>
      <c r="G11" s="159"/>
    </row>
    <row r="12" spans="1:13">
      <c r="A12" s="156">
        <f>+A11+28</f>
        <v>42809</v>
      </c>
      <c r="B12" s="157">
        <f>F11</f>
        <v>49386.293948966151</v>
      </c>
      <c r="C12" s="157">
        <f t="shared" ref="C12:C75" si="0">B12*$F$6/12</f>
        <v>168.73650432563434</v>
      </c>
      <c r="D12" s="157">
        <f t="shared" ref="D12:D75" si="1">E12-C12</f>
        <v>615.80288004154954</v>
      </c>
      <c r="E12" s="158">
        <f t="shared" ref="E12:E75" si="2">$C$7</f>
        <v>784.53938436718386</v>
      </c>
      <c r="F12" s="157">
        <f t="shared" ref="F12:F70" si="3">B12-D12</f>
        <v>48770.491068924603</v>
      </c>
    </row>
    <row r="13" spans="1:13">
      <c r="A13" s="156">
        <f>+A12+31</f>
        <v>42840</v>
      </c>
      <c r="B13" s="157">
        <f t="shared" ref="B13:B70" si="4">F12</f>
        <v>48770.491068924603</v>
      </c>
      <c r="C13" s="157">
        <f t="shared" si="0"/>
        <v>166.63251115215908</v>
      </c>
      <c r="D13" s="157">
        <f t="shared" si="1"/>
        <v>617.9068732150248</v>
      </c>
      <c r="E13" s="158">
        <f t="shared" si="2"/>
        <v>784.53938436718386</v>
      </c>
      <c r="F13" s="157">
        <f t="shared" si="3"/>
        <v>48152.584195709576</v>
      </c>
    </row>
    <row r="14" spans="1:13">
      <c r="A14" s="156">
        <f>+A13+30</f>
        <v>42870</v>
      </c>
      <c r="B14" s="157">
        <f t="shared" si="4"/>
        <v>48152.584195709576</v>
      </c>
      <c r="C14" s="157">
        <f t="shared" si="0"/>
        <v>164.52132933534105</v>
      </c>
      <c r="D14" s="157">
        <f t="shared" si="1"/>
        <v>620.01805503184278</v>
      </c>
      <c r="E14" s="158">
        <f t="shared" si="2"/>
        <v>784.53938436718386</v>
      </c>
      <c r="F14" s="157">
        <f t="shared" si="3"/>
        <v>47532.566140677736</v>
      </c>
      <c r="I14" s="160"/>
    </row>
    <row r="15" spans="1:13">
      <c r="A15" s="156">
        <f>+A14+31</f>
        <v>42901</v>
      </c>
      <c r="B15" s="157">
        <f t="shared" si="4"/>
        <v>47532.566140677736</v>
      </c>
      <c r="C15" s="157">
        <f t="shared" si="0"/>
        <v>162.40293431398229</v>
      </c>
      <c r="D15" s="157">
        <f t="shared" si="1"/>
        <v>622.13645005320154</v>
      </c>
      <c r="E15" s="158">
        <f t="shared" si="2"/>
        <v>784.53938436718386</v>
      </c>
      <c r="F15" s="157">
        <f t="shared" si="3"/>
        <v>46910.429690624536</v>
      </c>
    </row>
    <row r="16" spans="1:13">
      <c r="A16" s="156">
        <f>+A15+30</f>
        <v>42931</v>
      </c>
      <c r="B16" s="157">
        <f t="shared" si="4"/>
        <v>46910.429690624536</v>
      </c>
      <c r="C16" s="157">
        <f t="shared" si="0"/>
        <v>160.27730144296717</v>
      </c>
      <c r="D16" s="157">
        <f t="shared" si="1"/>
        <v>624.26208292421666</v>
      </c>
      <c r="E16" s="158">
        <f t="shared" si="2"/>
        <v>784.53938436718386</v>
      </c>
      <c r="F16" s="157">
        <f t="shared" si="3"/>
        <v>46286.167607700321</v>
      </c>
    </row>
    <row r="17" spans="1:8">
      <c r="A17" s="156">
        <f>+A16+31</f>
        <v>42962</v>
      </c>
      <c r="B17" s="157">
        <f t="shared" si="4"/>
        <v>46286.167607700321</v>
      </c>
      <c r="C17" s="157">
        <f t="shared" si="0"/>
        <v>158.14440599297612</v>
      </c>
      <c r="D17" s="157">
        <f t="shared" si="1"/>
        <v>626.39497837420777</v>
      </c>
      <c r="E17" s="158">
        <f t="shared" si="2"/>
        <v>784.53938436718386</v>
      </c>
      <c r="F17" s="157">
        <f t="shared" si="3"/>
        <v>45659.772629326115</v>
      </c>
    </row>
    <row r="18" spans="1:8">
      <c r="A18" s="156">
        <f t="shared" ref="A18:A68" si="5">+A17+31</f>
        <v>42993</v>
      </c>
      <c r="B18" s="157">
        <f t="shared" si="4"/>
        <v>45659.772629326115</v>
      </c>
      <c r="C18" s="157">
        <f t="shared" si="0"/>
        <v>156.00422315019756</v>
      </c>
      <c r="D18" s="157">
        <f t="shared" si="1"/>
        <v>628.53516121698635</v>
      </c>
      <c r="E18" s="158">
        <f t="shared" si="2"/>
        <v>784.53938436718386</v>
      </c>
      <c r="F18" s="157">
        <f t="shared" si="3"/>
        <v>45031.237468109131</v>
      </c>
      <c r="H18" s="159"/>
    </row>
    <row r="19" spans="1:8">
      <c r="A19" s="156">
        <f>+A18+30</f>
        <v>43023</v>
      </c>
      <c r="B19" s="157">
        <f t="shared" si="4"/>
        <v>45031.237468109131</v>
      </c>
      <c r="C19" s="157">
        <f t="shared" si="0"/>
        <v>153.85672801603954</v>
      </c>
      <c r="D19" s="157">
        <f t="shared" si="1"/>
        <v>630.68265635114426</v>
      </c>
      <c r="E19" s="158">
        <f t="shared" si="2"/>
        <v>784.53938436718386</v>
      </c>
      <c r="F19" s="157">
        <f t="shared" si="3"/>
        <v>44400.554811757989</v>
      </c>
      <c r="H19" s="159"/>
    </row>
    <row r="20" spans="1:8">
      <c r="A20" s="156">
        <f t="shared" si="5"/>
        <v>43054</v>
      </c>
      <c r="B20" s="157">
        <f t="shared" si="4"/>
        <v>44400.554811757989</v>
      </c>
      <c r="C20" s="157">
        <f t="shared" si="0"/>
        <v>151.7018956068398</v>
      </c>
      <c r="D20" s="157">
        <f t="shared" si="1"/>
        <v>632.83748876034406</v>
      </c>
      <c r="E20" s="158">
        <f t="shared" si="2"/>
        <v>784.53938436718386</v>
      </c>
      <c r="F20" s="157">
        <f t="shared" si="3"/>
        <v>43767.717322997647</v>
      </c>
    </row>
    <row r="21" spans="1:8">
      <c r="A21" s="156">
        <f>+A20+30</f>
        <v>43084</v>
      </c>
      <c r="B21" s="157">
        <f t="shared" si="4"/>
        <v>43767.717322997647</v>
      </c>
      <c r="C21" s="157">
        <f t="shared" si="0"/>
        <v>149.53970085357528</v>
      </c>
      <c r="D21" s="157">
        <f t="shared" si="1"/>
        <v>634.9996835136086</v>
      </c>
      <c r="E21" s="158">
        <f t="shared" si="2"/>
        <v>784.53938436718386</v>
      </c>
      <c r="F21" s="157">
        <f t="shared" si="3"/>
        <v>43132.717639484035</v>
      </c>
    </row>
    <row r="22" spans="1:8">
      <c r="A22" s="156">
        <f>+A21+31</f>
        <v>43115</v>
      </c>
      <c r="B22" s="157">
        <f t="shared" si="4"/>
        <v>43132.717639484035</v>
      </c>
      <c r="C22" s="157">
        <f t="shared" si="0"/>
        <v>147.37011860157045</v>
      </c>
      <c r="D22" s="157">
        <f t="shared" si="1"/>
        <v>637.16926576561343</v>
      </c>
      <c r="E22" s="158">
        <f t="shared" si="2"/>
        <v>784.53938436718386</v>
      </c>
      <c r="F22" s="157">
        <f t="shared" si="3"/>
        <v>42495.548373718419</v>
      </c>
    </row>
    <row r="23" spans="1:8">
      <c r="A23" s="156">
        <f>+A22+31</f>
        <v>43146</v>
      </c>
      <c r="B23" s="157">
        <f t="shared" si="4"/>
        <v>42495.548373718419</v>
      </c>
      <c r="C23" s="157">
        <f t="shared" si="0"/>
        <v>145.19312361020459</v>
      </c>
      <c r="D23" s="157">
        <f t="shared" si="1"/>
        <v>639.34626075697929</v>
      </c>
      <c r="E23" s="158">
        <f t="shared" si="2"/>
        <v>784.53938436718386</v>
      </c>
      <c r="F23" s="157">
        <f t="shared" si="3"/>
        <v>41856.202112961437</v>
      </c>
    </row>
    <row r="24" spans="1:8">
      <c r="A24" s="156">
        <f>+A23+28</f>
        <v>43174</v>
      </c>
      <c r="B24" s="157">
        <f t="shared" si="4"/>
        <v>41856.202112961437</v>
      </c>
      <c r="C24" s="157">
        <f t="shared" si="0"/>
        <v>143.00869055261825</v>
      </c>
      <c r="D24" s="157">
        <f t="shared" si="1"/>
        <v>641.53069381456567</v>
      </c>
      <c r="E24" s="158">
        <f t="shared" si="2"/>
        <v>784.53938436718386</v>
      </c>
      <c r="F24" s="157">
        <f t="shared" si="3"/>
        <v>41214.671419146871</v>
      </c>
    </row>
    <row r="25" spans="1:8">
      <c r="A25" s="156">
        <f>+A24+31</f>
        <v>43205</v>
      </c>
      <c r="B25" s="157">
        <f t="shared" si="4"/>
        <v>41214.671419146871</v>
      </c>
      <c r="C25" s="157">
        <f t="shared" si="0"/>
        <v>140.81679401541848</v>
      </c>
      <c r="D25" s="157">
        <f t="shared" si="1"/>
        <v>643.72259035176535</v>
      </c>
      <c r="E25" s="158">
        <f t="shared" si="2"/>
        <v>784.53938436718386</v>
      </c>
      <c r="F25" s="157">
        <f t="shared" si="3"/>
        <v>40570.948828795103</v>
      </c>
    </row>
    <row r="26" spans="1:8">
      <c r="A26" s="156">
        <f>+A25+30</f>
        <v>43235</v>
      </c>
      <c r="B26" s="157">
        <f t="shared" si="4"/>
        <v>40570.948828795103</v>
      </c>
      <c r="C26" s="157">
        <f t="shared" si="0"/>
        <v>138.61740849838327</v>
      </c>
      <c r="D26" s="157">
        <f t="shared" si="1"/>
        <v>645.92197586880059</v>
      </c>
      <c r="E26" s="158">
        <f t="shared" si="2"/>
        <v>784.53938436718386</v>
      </c>
      <c r="F26" s="157">
        <f t="shared" si="3"/>
        <v>39925.026852926305</v>
      </c>
    </row>
    <row r="27" spans="1:8">
      <c r="A27" s="156">
        <f>+A26+31</f>
        <v>43266</v>
      </c>
      <c r="B27" s="157">
        <f t="shared" si="4"/>
        <v>39925.026852926305</v>
      </c>
      <c r="C27" s="157">
        <f t="shared" si="0"/>
        <v>136.41050841416487</v>
      </c>
      <c r="D27" s="157">
        <f t="shared" si="1"/>
        <v>648.12887595301902</v>
      </c>
      <c r="E27" s="158">
        <f t="shared" si="2"/>
        <v>784.53938436718386</v>
      </c>
      <c r="F27" s="157">
        <f t="shared" si="3"/>
        <v>39276.897976973283</v>
      </c>
    </row>
    <row r="28" spans="1:8">
      <c r="A28" s="156">
        <f>+A27+30</f>
        <v>43296</v>
      </c>
      <c r="B28" s="157">
        <f t="shared" si="4"/>
        <v>39276.897976973283</v>
      </c>
      <c r="C28" s="157">
        <f t="shared" si="0"/>
        <v>134.19606808799207</v>
      </c>
      <c r="D28" s="157">
        <f t="shared" si="1"/>
        <v>650.34331627919175</v>
      </c>
      <c r="E28" s="158">
        <f t="shared" si="2"/>
        <v>784.53938436718386</v>
      </c>
      <c r="F28" s="157">
        <f t="shared" si="3"/>
        <v>38626.554660694092</v>
      </c>
    </row>
    <row r="29" spans="1:8">
      <c r="A29" s="156">
        <f>+A28+31</f>
        <v>43327</v>
      </c>
      <c r="B29" s="157">
        <f t="shared" si="4"/>
        <v>38626.554660694092</v>
      </c>
      <c r="C29" s="157">
        <f t="shared" si="0"/>
        <v>131.97406175737149</v>
      </c>
      <c r="D29" s="157">
        <f t="shared" si="1"/>
        <v>652.56532260981237</v>
      </c>
      <c r="E29" s="158">
        <f t="shared" si="2"/>
        <v>784.53938436718386</v>
      </c>
      <c r="F29" s="157">
        <f t="shared" si="3"/>
        <v>37973.989338084277</v>
      </c>
    </row>
    <row r="30" spans="1:8">
      <c r="A30" s="156">
        <f t="shared" si="5"/>
        <v>43358</v>
      </c>
      <c r="B30" s="157">
        <f t="shared" si="4"/>
        <v>37973.989338084277</v>
      </c>
      <c r="C30" s="157">
        <f t="shared" si="0"/>
        <v>129.74446357178795</v>
      </c>
      <c r="D30" s="157">
        <f t="shared" si="1"/>
        <v>654.79492079539591</v>
      </c>
      <c r="E30" s="158">
        <f t="shared" si="2"/>
        <v>784.53938436718386</v>
      </c>
      <c r="F30" s="157">
        <f t="shared" si="3"/>
        <v>37319.194417288883</v>
      </c>
    </row>
    <row r="31" spans="1:8">
      <c r="A31" s="156">
        <f>+A30+30</f>
        <v>43388</v>
      </c>
      <c r="B31" s="157">
        <f t="shared" si="4"/>
        <v>37319.194417288883</v>
      </c>
      <c r="C31" s="157">
        <f t="shared" si="0"/>
        <v>127.50724759240369</v>
      </c>
      <c r="D31" s="157">
        <f t="shared" si="1"/>
        <v>657.03213677478016</v>
      </c>
      <c r="E31" s="158">
        <f t="shared" si="2"/>
        <v>784.53938436718386</v>
      </c>
      <c r="F31" s="157">
        <f t="shared" si="3"/>
        <v>36662.162280514101</v>
      </c>
    </row>
    <row r="32" spans="1:8">
      <c r="A32" s="156">
        <f t="shared" si="5"/>
        <v>43419</v>
      </c>
      <c r="B32" s="157">
        <f t="shared" si="4"/>
        <v>36662.162280514101</v>
      </c>
      <c r="C32" s="157">
        <f t="shared" si="0"/>
        <v>125.26238779175651</v>
      </c>
      <c r="D32" s="157">
        <f t="shared" si="1"/>
        <v>659.27699657542735</v>
      </c>
      <c r="E32" s="158">
        <f t="shared" si="2"/>
        <v>784.53938436718386</v>
      </c>
      <c r="F32" s="157">
        <f t="shared" si="3"/>
        <v>36002.885283938675</v>
      </c>
    </row>
    <row r="33" spans="1:7">
      <c r="A33" s="156">
        <f>+A32+30</f>
        <v>43449</v>
      </c>
      <c r="B33" s="157">
        <f t="shared" si="4"/>
        <v>36002.885283938675</v>
      </c>
      <c r="C33" s="157">
        <f t="shared" si="0"/>
        <v>123.00985805345715</v>
      </c>
      <c r="D33" s="157">
        <f t="shared" si="1"/>
        <v>661.52952631372671</v>
      </c>
      <c r="E33" s="158">
        <f t="shared" si="2"/>
        <v>784.53938436718386</v>
      </c>
      <c r="F33" s="157">
        <f t="shared" si="3"/>
        <v>35341.355757624951</v>
      </c>
    </row>
    <row r="34" spans="1:7">
      <c r="A34" s="156">
        <f>+A33+31</f>
        <v>43480</v>
      </c>
      <c r="B34" s="157">
        <f t="shared" si="4"/>
        <v>35341.355757624951</v>
      </c>
      <c r="C34" s="157">
        <f t="shared" si="0"/>
        <v>120.74963217188525</v>
      </c>
      <c r="D34" s="157">
        <f t="shared" si="1"/>
        <v>663.78975219529866</v>
      </c>
      <c r="E34" s="158">
        <f t="shared" si="2"/>
        <v>784.53938436718386</v>
      </c>
      <c r="F34" s="157">
        <f t="shared" si="3"/>
        <v>34677.566005429653</v>
      </c>
      <c r="G34" s="140">
        <f>+C34/2</f>
        <v>60.374816085942626</v>
      </c>
    </row>
    <row r="35" spans="1:7">
      <c r="A35" s="156">
        <f>+A34+31</f>
        <v>43511</v>
      </c>
      <c r="B35" s="157">
        <f t="shared" si="4"/>
        <v>34677.566005429653</v>
      </c>
      <c r="C35" s="157">
        <f t="shared" si="0"/>
        <v>118.48168385188465</v>
      </c>
      <c r="D35" s="157">
        <f t="shared" si="1"/>
        <v>666.05770051529919</v>
      </c>
      <c r="E35" s="158">
        <f t="shared" si="2"/>
        <v>784.53938436718386</v>
      </c>
      <c r="F35" s="157">
        <f t="shared" si="3"/>
        <v>34011.50830491435</v>
      </c>
    </row>
    <row r="36" spans="1:7">
      <c r="A36" s="156">
        <f>+A35+28</f>
        <v>43539</v>
      </c>
      <c r="B36" s="157">
        <f t="shared" si="4"/>
        <v>34011.50830491435</v>
      </c>
      <c r="C36" s="157">
        <f t="shared" si="0"/>
        <v>116.20598670845737</v>
      </c>
      <c r="D36" s="157">
        <f t="shared" si="1"/>
        <v>668.33339765872643</v>
      </c>
      <c r="E36" s="158">
        <f t="shared" si="2"/>
        <v>784.53938436718386</v>
      </c>
      <c r="F36" s="157">
        <f t="shared" si="3"/>
        <v>33343.174907255627</v>
      </c>
    </row>
    <row r="37" spans="1:7">
      <c r="A37" s="156">
        <f>+A36+31</f>
        <v>43570</v>
      </c>
      <c r="B37" s="157">
        <f t="shared" si="4"/>
        <v>33343.174907255627</v>
      </c>
      <c r="C37" s="157">
        <f t="shared" si="0"/>
        <v>113.92251426645673</v>
      </c>
      <c r="D37" s="157">
        <f t="shared" si="1"/>
        <v>670.61687010072717</v>
      </c>
      <c r="E37" s="158">
        <f t="shared" si="2"/>
        <v>784.53938436718386</v>
      </c>
      <c r="F37" s="157">
        <f t="shared" si="3"/>
        <v>32672.5580371549</v>
      </c>
    </row>
    <row r="38" spans="1:7">
      <c r="A38" s="156">
        <f>+A37+30</f>
        <v>43600</v>
      </c>
      <c r="B38" s="157">
        <f t="shared" si="4"/>
        <v>32672.5580371549</v>
      </c>
      <c r="C38" s="157">
        <f t="shared" si="0"/>
        <v>111.63123996027925</v>
      </c>
      <c r="D38" s="157">
        <f t="shared" si="1"/>
        <v>672.90814440690463</v>
      </c>
      <c r="E38" s="158">
        <f t="shared" si="2"/>
        <v>784.53938436718386</v>
      </c>
      <c r="F38" s="157">
        <f t="shared" si="3"/>
        <v>31999.649892747995</v>
      </c>
    </row>
    <row r="39" spans="1:7">
      <c r="A39" s="156">
        <f>+A38+31</f>
        <v>43631</v>
      </c>
      <c r="B39" s="157">
        <f t="shared" si="4"/>
        <v>31999.649892747995</v>
      </c>
      <c r="C39" s="157">
        <f t="shared" si="0"/>
        <v>109.33213713355565</v>
      </c>
      <c r="D39" s="157">
        <f t="shared" si="1"/>
        <v>675.20724723362821</v>
      </c>
      <c r="E39" s="158">
        <f t="shared" si="2"/>
        <v>784.53938436718386</v>
      </c>
      <c r="F39" s="157">
        <f t="shared" si="3"/>
        <v>31324.442645514366</v>
      </c>
    </row>
    <row r="40" spans="1:7">
      <c r="A40" s="156">
        <f>+A39+30</f>
        <v>43661</v>
      </c>
      <c r="B40" s="157">
        <f t="shared" si="4"/>
        <v>31324.442645514366</v>
      </c>
      <c r="C40" s="157">
        <f t="shared" si="0"/>
        <v>107.02517903884075</v>
      </c>
      <c r="D40" s="157">
        <f t="shared" si="1"/>
        <v>677.51420532834311</v>
      </c>
      <c r="E40" s="158">
        <f t="shared" si="2"/>
        <v>784.53938436718386</v>
      </c>
      <c r="F40" s="157">
        <f t="shared" si="3"/>
        <v>30646.928440186024</v>
      </c>
    </row>
    <row r="41" spans="1:7">
      <c r="A41" s="156">
        <f>+A40+31</f>
        <v>43692</v>
      </c>
      <c r="B41" s="157">
        <f t="shared" si="4"/>
        <v>30646.928440186024</v>
      </c>
      <c r="C41" s="157">
        <f t="shared" si="0"/>
        <v>104.71033883730225</v>
      </c>
      <c r="D41" s="157">
        <f t="shared" si="1"/>
        <v>679.82904552988157</v>
      </c>
      <c r="E41" s="158">
        <f t="shared" si="2"/>
        <v>784.53938436718386</v>
      </c>
      <c r="F41" s="157">
        <f t="shared" si="3"/>
        <v>29967.099394656143</v>
      </c>
    </row>
    <row r="42" spans="1:7">
      <c r="A42" s="156">
        <f t="shared" si="5"/>
        <v>43723</v>
      </c>
      <c r="B42" s="157">
        <f t="shared" si="4"/>
        <v>29967.099394656143</v>
      </c>
      <c r="C42" s="157">
        <f t="shared" si="0"/>
        <v>102.3875895984085</v>
      </c>
      <c r="D42" s="157">
        <f t="shared" si="1"/>
        <v>682.1517947687754</v>
      </c>
      <c r="E42" s="158">
        <f t="shared" si="2"/>
        <v>784.53938436718386</v>
      </c>
      <c r="F42" s="157">
        <f t="shared" si="3"/>
        <v>29284.947599887368</v>
      </c>
    </row>
    <row r="43" spans="1:7">
      <c r="A43" s="156">
        <f>+A42+30</f>
        <v>43753</v>
      </c>
      <c r="B43" s="157">
        <f t="shared" si="4"/>
        <v>29284.947599887368</v>
      </c>
      <c r="C43" s="157">
        <f t="shared" si="0"/>
        <v>100.05690429961517</v>
      </c>
      <c r="D43" s="157">
        <f t="shared" si="1"/>
        <v>684.48248006756864</v>
      </c>
      <c r="E43" s="158">
        <f t="shared" si="2"/>
        <v>784.53938436718386</v>
      </c>
      <c r="F43" s="157">
        <f t="shared" si="3"/>
        <v>28600.465119819801</v>
      </c>
    </row>
    <row r="44" spans="1:7">
      <c r="A44" s="156">
        <f t="shared" si="5"/>
        <v>43784</v>
      </c>
      <c r="B44" s="157">
        <f t="shared" si="4"/>
        <v>28600.465119819801</v>
      </c>
      <c r="C44" s="157">
        <f t="shared" si="0"/>
        <v>97.718255826050992</v>
      </c>
      <c r="D44" s="157">
        <f t="shared" si="1"/>
        <v>686.82112854113291</v>
      </c>
      <c r="E44" s="158">
        <f t="shared" si="2"/>
        <v>784.53938436718386</v>
      </c>
      <c r="F44" s="157">
        <f t="shared" si="3"/>
        <v>27913.643991278666</v>
      </c>
    </row>
    <row r="45" spans="1:7">
      <c r="A45" s="156">
        <f>+A44+30</f>
        <v>43814</v>
      </c>
      <c r="B45" s="157">
        <f t="shared" si="4"/>
        <v>27913.643991278666</v>
      </c>
      <c r="C45" s="157">
        <f t="shared" si="0"/>
        <v>95.371616970202112</v>
      </c>
      <c r="D45" s="157">
        <f t="shared" si="1"/>
        <v>689.16776739698173</v>
      </c>
      <c r="E45" s="158">
        <f t="shared" si="2"/>
        <v>784.53938436718386</v>
      </c>
      <c r="F45" s="157">
        <f t="shared" si="3"/>
        <v>27224.476223881684</v>
      </c>
    </row>
    <row r="46" spans="1:7">
      <c r="A46" s="156">
        <f>+A45+31</f>
        <v>43845</v>
      </c>
      <c r="B46" s="157">
        <f t="shared" si="4"/>
        <v>27224.476223881684</v>
      </c>
      <c r="C46" s="157">
        <f t="shared" si="0"/>
        <v>93.016960431595749</v>
      </c>
      <c r="D46" s="157">
        <f t="shared" si="1"/>
        <v>691.52242393558811</v>
      </c>
      <c r="E46" s="158">
        <f t="shared" si="2"/>
        <v>784.53938436718386</v>
      </c>
      <c r="F46" s="157">
        <f t="shared" si="3"/>
        <v>26532.953799946095</v>
      </c>
    </row>
    <row r="47" spans="1:7">
      <c r="A47" s="156">
        <f>+A46+31</f>
        <v>43876</v>
      </c>
      <c r="B47" s="157">
        <f t="shared" si="4"/>
        <v>26532.953799946095</v>
      </c>
      <c r="C47" s="157">
        <f t="shared" si="0"/>
        <v>90.65425881648251</v>
      </c>
      <c r="D47" s="157">
        <f t="shared" si="1"/>
        <v>693.88512555070133</v>
      </c>
      <c r="E47" s="158">
        <f t="shared" si="2"/>
        <v>784.53938436718386</v>
      </c>
      <c r="F47" s="157">
        <f t="shared" si="3"/>
        <v>25839.068674395396</v>
      </c>
    </row>
    <row r="48" spans="1:7">
      <c r="A48" s="156">
        <f>+A47+29</f>
        <v>43905</v>
      </c>
      <c r="B48" s="157">
        <f t="shared" si="4"/>
        <v>25839.068674395396</v>
      </c>
      <c r="C48" s="157">
        <f t="shared" si="0"/>
        <v>88.283484637517617</v>
      </c>
      <c r="D48" s="157">
        <f t="shared" si="1"/>
        <v>696.25589972966623</v>
      </c>
      <c r="E48" s="158">
        <f t="shared" si="2"/>
        <v>784.53938436718386</v>
      </c>
      <c r="F48" s="157">
        <f t="shared" si="3"/>
        <v>25142.81277466573</v>
      </c>
    </row>
    <row r="49" spans="1:6">
      <c r="A49" s="156">
        <f>+A48+31</f>
        <v>43936</v>
      </c>
      <c r="B49" s="157">
        <f t="shared" si="4"/>
        <v>25142.81277466573</v>
      </c>
      <c r="C49" s="157">
        <f t="shared" si="0"/>
        <v>85.904610313441253</v>
      </c>
      <c r="D49" s="157">
        <f t="shared" si="1"/>
        <v>698.6347740537426</v>
      </c>
      <c r="E49" s="158">
        <f t="shared" si="2"/>
        <v>784.53938436718386</v>
      </c>
      <c r="F49" s="157">
        <f t="shared" si="3"/>
        <v>24444.178000611988</v>
      </c>
    </row>
    <row r="50" spans="1:6">
      <c r="A50" s="156">
        <f>+A49+30</f>
        <v>43966</v>
      </c>
      <c r="B50" s="157">
        <f t="shared" si="4"/>
        <v>24444.178000611988</v>
      </c>
      <c r="C50" s="157">
        <f t="shared" si="0"/>
        <v>83.517608168757633</v>
      </c>
      <c r="D50" s="157">
        <f t="shared" si="1"/>
        <v>701.02177619842621</v>
      </c>
      <c r="E50" s="158">
        <f t="shared" si="2"/>
        <v>784.53938436718386</v>
      </c>
      <c r="F50" s="157">
        <f t="shared" si="3"/>
        <v>23743.15622441356</v>
      </c>
    </row>
    <row r="51" spans="1:6">
      <c r="A51" s="156">
        <f>+A50+31</f>
        <v>43997</v>
      </c>
      <c r="B51" s="157">
        <f t="shared" si="4"/>
        <v>23743.15622441356</v>
      </c>
      <c r="C51" s="157">
        <f t="shared" si="0"/>
        <v>81.122450433412993</v>
      </c>
      <c r="D51" s="157">
        <f t="shared" si="1"/>
        <v>703.41693393377091</v>
      </c>
      <c r="E51" s="158">
        <f t="shared" si="2"/>
        <v>784.53938436718386</v>
      </c>
      <c r="F51" s="157">
        <f t="shared" si="3"/>
        <v>23039.739290479789</v>
      </c>
    </row>
    <row r="52" spans="1:6">
      <c r="A52" s="156">
        <f>+A51+30</f>
        <v>44027</v>
      </c>
      <c r="B52" s="157">
        <f t="shared" si="4"/>
        <v>23039.739290479789</v>
      </c>
      <c r="C52" s="157">
        <f t="shared" si="0"/>
        <v>78.719109242472612</v>
      </c>
      <c r="D52" s="157">
        <f t="shared" si="1"/>
        <v>705.8202751247112</v>
      </c>
      <c r="E52" s="158">
        <f t="shared" si="2"/>
        <v>784.53938436718386</v>
      </c>
      <c r="F52" s="157">
        <f t="shared" si="3"/>
        <v>22333.919015355077</v>
      </c>
    </row>
    <row r="53" spans="1:6">
      <c r="A53" s="156">
        <f>+A52+31</f>
        <v>44058</v>
      </c>
      <c r="B53" s="157">
        <f t="shared" si="4"/>
        <v>22333.919015355077</v>
      </c>
      <c r="C53" s="157">
        <f t="shared" si="0"/>
        <v>76.307556635796516</v>
      </c>
      <c r="D53" s="157">
        <f t="shared" si="1"/>
        <v>708.23182773138728</v>
      </c>
      <c r="E53" s="158">
        <f t="shared" si="2"/>
        <v>784.53938436718386</v>
      </c>
      <c r="F53" s="157">
        <f t="shared" si="3"/>
        <v>21625.687187623691</v>
      </c>
    </row>
    <row r="54" spans="1:6">
      <c r="A54" s="156">
        <f t="shared" si="5"/>
        <v>44089</v>
      </c>
      <c r="B54" s="157">
        <f t="shared" si="4"/>
        <v>21625.687187623691</v>
      </c>
      <c r="C54" s="157">
        <f t="shared" si="0"/>
        <v>73.887764557714277</v>
      </c>
      <c r="D54" s="157">
        <f t="shared" si="1"/>
        <v>710.65161980946959</v>
      </c>
      <c r="E54" s="158">
        <f t="shared" si="2"/>
        <v>784.53938436718386</v>
      </c>
      <c r="F54" s="157">
        <f t="shared" si="3"/>
        <v>20915.035567814222</v>
      </c>
    </row>
    <row r="55" spans="1:6">
      <c r="A55" s="156">
        <f>+A54+30</f>
        <v>44119</v>
      </c>
      <c r="B55" s="157">
        <f t="shared" si="4"/>
        <v>20915.035567814222</v>
      </c>
      <c r="C55" s="157">
        <f t="shared" si="0"/>
        <v>71.459704856698593</v>
      </c>
      <c r="D55" s="157">
        <f t="shared" si="1"/>
        <v>713.07967951048522</v>
      </c>
      <c r="E55" s="158">
        <f t="shared" si="2"/>
        <v>784.53938436718386</v>
      </c>
      <c r="F55" s="157">
        <f t="shared" si="3"/>
        <v>20201.955888303739</v>
      </c>
    </row>
    <row r="56" spans="1:6">
      <c r="A56" s="156">
        <f t="shared" si="5"/>
        <v>44150</v>
      </c>
      <c r="B56" s="157">
        <f t="shared" si="4"/>
        <v>20201.955888303739</v>
      </c>
      <c r="C56" s="157">
        <f t="shared" si="0"/>
        <v>69.023349285037781</v>
      </c>
      <c r="D56" s="157">
        <f t="shared" si="1"/>
        <v>715.51603508214612</v>
      </c>
      <c r="E56" s="158">
        <f t="shared" si="2"/>
        <v>784.53938436718386</v>
      </c>
      <c r="F56" s="157">
        <f t="shared" si="3"/>
        <v>19486.439853221593</v>
      </c>
    </row>
    <row r="57" spans="1:6">
      <c r="A57" s="156">
        <f>+A56+30</f>
        <v>44180</v>
      </c>
      <c r="B57" s="157">
        <f t="shared" si="4"/>
        <v>19486.439853221593</v>
      </c>
      <c r="C57" s="157">
        <f t="shared" si="0"/>
        <v>66.578669498507111</v>
      </c>
      <c r="D57" s="157">
        <f t="shared" si="1"/>
        <v>717.96071486867675</v>
      </c>
      <c r="E57" s="158">
        <f t="shared" si="2"/>
        <v>784.53938436718386</v>
      </c>
      <c r="F57" s="157">
        <f t="shared" si="3"/>
        <v>18768.479138352915</v>
      </c>
    </row>
    <row r="58" spans="1:6">
      <c r="A58" s="156">
        <f>+A57+31</f>
        <v>44211</v>
      </c>
      <c r="B58" s="157">
        <f t="shared" si="4"/>
        <v>18768.479138352915</v>
      </c>
      <c r="C58" s="157">
        <f t="shared" si="0"/>
        <v>64.125637056039139</v>
      </c>
      <c r="D58" s="157">
        <f t="shared" si="1"/>
        <v>720.41374731114468</v>
      </c>
      <c r="E58" s="158">
        <f t="shared" si="2"/>
        <v>784.53938436718386</v>
      </c>
      <c r="F58" s="157">
        <f t="shared" si="3"/>
        <v>18048.065391041771</v>
      </c>
    </row>
    <row r="59" spans="1:6">
      <c r="A59" s="156">
        <f>+A58+31</f>
        <v>44242</v>
      </c>
      <c r="B59" s="157">
        <f t="shared" si="4"/>
        <v>18048.065391041771</v>
      </c>
      <c r="C59" s="157">
        <f t="shared" si="0"/>
        <v>61.664223419392719</v>
      </c>
      <c r="D59" s="157">
        <f t="shared" si="1"/>
        <v>722.87516094779119</v>
      </c>
      <c r="E59" s="158">
        <f t="shared" si="2"/>
        <v>784.53938436718386</v>
      </c>
      <c r="F59" s="157">
        <f t="shared" si="3"/>
        <v>17325.19023009398</v>
      </c>
    </row>
    <row r="60" spans="1:6">
      <c r="A60" s="156">
        <f>+A59+28</f>
        <v>44270</v>
      </c>
      <c r="B60" s="157">
        <f t="shared" si="4"/>
        <v>17325.19023009398</v>
      </c>
      <c r="C60" s="157">
        <f t="shared" si="0"/>
        <v>59.194399952821101</v>
      </c>
      <c r="D60" s="157">
        <f t="shared" si="1"/>
        <v>725.34498441436278</v>
      </c>
      <c r="E60" s="158">
        <f t="shared" si="2"/>
        <v>784.53938436718386</v>
      </c>
      <c r="F60" s="157">
        <f t="shared" si="3"/>
        <v>16599.845245679619</v>
      </c>
    </row>
    <row r="61" spans="1:6">
      <c r="A61" s="156">
        <f>+A60+31</f>
        <v>44301</v>
      </c>
      <c r="B61" s="157">
        <f t="shared" si="4"/>
        <v>16599.845245679619</v>
      </c>
      <c r="C61" s="157">
        <f t="shared" si="0"/>
        <v>56.716137922738703</v>
      </c>
      <c r="D61" s="157">
        <f t="shared" si="1"/>
        <v>727.8232464444452</v>
      </c>
      <c r="E61" s="158">
        <f t="shared" si="2"/>
        <v>784.53938436718386</v>
      </c>
      <c r="F61" s="157">
        <f t="shared" si="3"/>
        <v>15872.021999235174</v>
      </c>
    </row>
    <row r="62" spans="1:6">
      <c r="A62" s="156">
        <f>+A61+30</f>
        <v>44331</v>
      </c>
      <c r="B62" s="157">
        <f t="shared" si="4"/>
        <v>15872.021999235174</v>
      </c>
      <c r="C62" s="157">
        <f t="shared" si="0"/>
        <v>54.229408497386849</v>
      </c>
      <c r="D62" s="157">
        <f t="shared" si="1"/>
        <v>730.30997586979697</v>
      </c>
      <c r="E62" s="158">
        <f t="shared" si="2"/>
        <v>784.53938436718386</v>
      </c>
      <c r="F62" s="157">
        <f t="shared" si="3"/>
        <v>15141.712023365377</v>
      </c>
    </row>
    <row r="63" spans="1:6">
      <c r="A63" s="156">
        <f>+A62+31</f>
        <v>44362</v>
      </c>
      <c r="B63" s="157">
        <f t="shared" si="4"/>
        <v>15141.712023365377</v>
      </c>
      <c r="C63" s="157">
        <f t="shared" si="0"/>
        <v>51.734182746498369</v>
      </c>
      <c r="D63" s="157">
        <f t="shared" si="1"/>
        <v>732.80520162068547</v>
      </c>
      <c r="E63" s="158">
        <f t="shared" si="2"/>
        <v>784.53938436718386</v>
      </c>
      <c r="F63" s="157">
        <f t="shared" si="3"/>
        <v>14408.906821744691</v>
      </c>
    </row>
    <row r="64" spans="1:6">
      <c r="A64" s="156">
        <f>+A63+30</f>
        <v>44392</v>
      </c>
      <c r="B64" s="157">
        <f t="shared" si="4"/>
        <v>14408.906821744691</v>
      </c>
      <c r="C64" s="157">
        <f t="shared" si="0"/>
        <v>49.230431640961029</v>
      </c>
      <c r="D64" s="157">
        <f t="shared" si="1"/>
        <v>735.30895272622286</v>
      </c>
      <c r="E64" s="158">
        <f t="shared" si="2"/>
        <v>784.53938436718386</v>
      </c>
      <c r="F64" s="157">
        <f t="shared" si="3"/>
        <v>13673.597869018467</v>
      </c>
    </row>
    <row r="65" spans="1:6">
      <c r="A65" s="156">
        <f>+A64+31</f>
        <v>44423</v>
      </c>
      <c r="B65" s="157">
        <f t="shared" si="4"/>
        <v>13673.597869018467</v>
      </c>
      <c r="C65" s="157">
        <f t="shared" si="0"/>
        <v>46.718126052479768</v>
      </c>
      <c r="D65" s="157">
        <f t="shared" si="1"/>
        <v>737.8212583147041</v>
      </c>
      <c r="E65" s="158">
        <f t="shared" si="2"/>
        <v>784.53938436718386</v>
      </c>
      <c r="F65" s="157">
        <f t="shared" si="3"/>
        <v>12935.776610703764</v>
      </c>
    </row>
    <row r="66" spans="1:6">
      <c r="A66" s="156">
        <f t="shared" si="5"/>
        <v>44454</v>
      </c>
      <c r="B66" s="157">
        <f t="shared" si="4"/>
        <v>12935.776610703764</v>
      </c>
      <c r="C66" s="157">
        <f t="shared" si="0"/>
        <v>44.19723675323786</v>
      </c>
      <c r="D66" s="157">
        <f t="shared" si="1"/>
        <v>740.34214761394605</v>
      </c>
      <c r="E66" s="158">
        <f t="shared" si="2"/>
        <v>784.53938436718386</v>
      </c>
      <c r="F66" s="157">
        <f t="shared" si="3"/>
        <v>12195.434463089818</v>
      </c>
    </row>
    <row r="67" spans="1:6">
      <c r="A67" s="156">
        <f>+A66+30</f>
        <v>44484</v>
      </c>
      <c r="B67" s="157">
        <f t="shared" si="4"/>
        <v>12195.434463089818</v>
      </c>
      <c r="C67" s="157">
        <f t="shared" si="0"/>
        <v>41.667734415556879</v>
      </c>
      <c r="D67" s="157">
        <f t="shared" si="1"/>
        <v>742.87164995162698</v>
      </c>
      <c r="E67" s="158">
        <f t="shared" si="2"/>
        <v>784.53938436718386</v>
      </c>
      <c r="F67" s="157">
        <f t="shared" si="3"/>
        <v>11452.562813138191</v>
      </c>
    </row>
    <row r="68" spans="1:6">
      <c r="A68" s="156">
        <f t="shared" si="5"/>
        <v>44515</v>
      </c>
      <c r="B68" s="157">
        <f t="shared" si="4"/>
        <v>11452.562813138191</v>
      </c>
      <c r="C68" s="157">
        <f t="shared" si="0"/>
        <v>39.129589611555488</v>
      </c>
      <c r="D68" s="157">
        <f t="shared" si="1"/>
        <v>745.40979475562835</v>
      </c>
      <c r="E68" s="158">
        <f t="shared" si="2"/>
        <v>784.53938436718386</v>
      </c>
      <c r="F68" s="157">
        <f t="shared" si="3"/>
        <v>10707.153018382563</v>
      </c>
    </row>
    <row r="69" spans="1:6">
      <c r="A69" s="156">
        <f>+A68+30</f>
        <v>44545</v>
      </c>
      <c r="B69" s="157">
        <f t="shared" si="4"/>
        <v>10707.153018382563</v>
      </c>
      <c r="C69" s="157">
        <f t="shared" si="0"/>
        <v>36.582772812807093</v>
      </c>
      <c r="D69" s="157">
        <f t="shared" si="1"/>
        <v>747.95661155437676</v>
      </c>
      <c r="E69" s="158">
        <f t="shared" si="2"/>
        <v>784.53938436718386</v>
      </c>
      <c r="F69" s="157">
        <f t="shared" si="3"/>
        <v>9959.1964068281868</v>
      </c>
    </row>
    <row r="70" spans="1:6">
      <c r="A70" s="156">
        <f>+A69+31</f>
        <v>44576</v>
      </c>
      <c r="B70" s="157">
        <f t="shared" si="4"/>
        <v>9959.1964068281868</v>
      </c>
      <c r="C70" s="157">
        <f t="shared" si="0"/>
        <v>34.027254389996308</v>
      </c>
      <c r="D70" s="157">
        <f t="shared" si="1"/>
        <v>750.51212997718756</v>
      </c>
      <c r="E70" s="158">
        <f t="shared" si="2"/>
        <v>784.53938436718386</v>
      </c>
      <c r="F70" s="157">
        <f t="shared" si="3"/>
        <v>9208.6842768509996</v>
      </c>
    </row>
    <row r="71" spans="1:6">
      <c r="A71" s="156">
        <f>+A70+31</f>
        <v>44607</v>
      </c>
      <c r="B71" s="157">
        <f t="shared" ref="B71:B82" si="6">F70</f>
        <v>9208.6842768509996</v>
      </c>
      <c r="C71" s="157">
        <f t="shared" si="0"/>
        <v>31.463004612574249</v>
      </c>
      <c r="D71" s="157">
        <f t="shared" si="1"/>
        <v>753.07637975460966</v>
      </c>
      <c r="E71" s="158">
        <f t="shared" si="2"/>
        <v>784.53938436718386</v>
      </c>
      <c r="F71" s="157">
        <f t="shared" ref="F71:F82" si="7">B71-D71</f>
        <v>8455.6078970963899</v>
      </c>
    </row>
    <row r="72" spans="1:6">
      <c r="A72" s="156">
        <f>+A71+28</f>
        <v>44635</v>
      </c>
      <c r="B72" s="157">
        <f t="shared" si="6"/>
        <v>8455.6078970963899</v>
      </c>
      <c r="C72" s="157">
        <f t="shared" si="0"/>
        <v>28.889993648412666</v>
      </c>
      <c r="D72" s="157">
        <f t="shared" si="1"/>
        <v>755.6493907187712</v>
      </c>
      <c r="E72" s="158">
        <f t="shared" si="2"/>
        <v>784.53938436718386</v>
      </c>
      <c r="F72" s="157">
        <f t="shared" si="7"/>
        <v>7699.9585063776185</v>
      </c>
    </row>
    <row r="73" spans="1:6">
      <c r="A73" s="156">
        <f>+A72+31</f>
        <v>44666</v>
      </c>
      <c r="B73" s="157">
        <f t="shared" si="6"/>
        <v>7699.9585063776185</v>
      </c>
      <c r="C73" s="157">
        <f t="shared" si="0"/>
        <v>26.308191563456862</v>
      </c>
      <c r="D73" s="157">
        <f t="shared" si="1"/>
        <v>758.23119280372703</v>
      </c>
      <c r="E73" s="158">
        <f t="shared" si="2"/>
        <v>784.53938436718386</v>
      </c>
      <c r="F73" s="157">
        <f t="shared" si="7"/>
        <v>6941.7273135738915</v>
      </c>
    </row>
    <row r="74" spans="1:6">
      <c r="A74" s="156">
        <f>+A73+30</f>
        <v>44696</v>
      </c>
      <c r="B74" s="157">
        <f t="shared" si="6"/>
        <v>6941.7273135738915</v>
      </c>
      <c r="C74" s="157">
        <f t="shared" si="0"/>
        <v>23.717568321377467</v>
      </c>
      <c r="D74" s="157">
        <f t="shared" si="1"/>
        <v>760.82181604580637</v>
      </c>
      <c r="E74" s="158">
        <f t="shared" si="2"/>
        <v>784.53938436718386</v>
      </c>
      <c r="F74" s="157">
        <f t="shared" si="7"/>
        <v>6180.9054975280851</v>
      </c>
    </row>
    <row r="75" spans="1:6">
      <c r="A75" s="156">
        <f>+A74+31</f>
        <v>44727</v>
      </c>
      <c r="B75" s="157">
        <f t="shared" si="6"/>
        <v>6180.9054975280851</v>
      </c>
      <c r="C75" s="157">
        <f t="shared" si="0"/>
        <v>21.11809378322096</v>
      </c>
      <c r="D75" s="157">
        <f t="shared" si="1"/>
        <v>763.4212905839629</v>
      </c>
      <c r="E75" s="158">
        <f t="shared" si="2"/>
        <v>784.53938436718386</v>
      </c>
      <c r="F75" s="157">
        <f t="shared" si="7"/>
        <v>5417.484206944122</v>
      </c>
    </row>
    <row r="76" spans="1:6">
      <c r="A76" s="156">
        <f>+A75+30</f>
        <v>44757</v>
      </c>
      <c r="B76" s="157">
        <f t="shared" si="6"/>
        <v>5417.484206944122</v>
      </c>
      <c r="C76" s="157">
        <f t="shared" ref="C76:C82" si="8">B76*$F$6/12</f>
        <v>18.509737707059084</v>
      </c>
      <c r="D76" s="157">
        <f t="shared" ref="D76:D82" si="9">E76-C76</f>
        <v>766.02964666012474</v>
      </c>
      <c r="E76" s="158">
        <f t="shared" ref="E76:E82" si="10">$C$7</f>
        <v>784.53938436718386</v>
      </c>
      <c r="F76" s="157">
        <f t="shared" si="7"/>
        <v>4651.4545602839971</v>
      </c>
    </row>
    <row r="77" spans="1:6">
      <c r="A77" s="156">
        <f>+A76+31</f>
        <v>44788</v>
      </c>
      <c r="B77" s="157">
        <f t="shared" si="6"/>
        <v>4651.4545602839971</v>
      </c>
      <c r="C77" s="157">
        <f t="shared" si="8"/>
        <v>15.892469747636992</v>
      </c>
      <c r="D77" s="157">
        <f t="shared" si="9"/>
        <v>768.64691461954692</v>
      </c>
      <c r="E77" s="158">
        <f t="shared" si="10"/>
        <v>784.53938436718386</v>
      </c>
      <c r="F77" s="157">
        <f t="shared" si="7"/>
        <v>3882.8076456644503</v>
      </c>
    </row>
    <row r="78" spans="1:6">
      <c r="A78" s="156">
        <f t="shared" ref="A78:A80" si="11">+A77+31</f>
        <v>44819</v>
      </c>
      <c r="B78" s="157">
        <f t="shared" si="6"/>
        <v>3882.8076456644503</v>
      </c>
      <c r="C78" s="157">
        <f t="shared" si="8"/>
        <v>13.266259456020206</v>
      </c>
      <c r="D78" s="157">
        <f t="shared" si="9"/>
        <v>771.27312491116368</v>
      </c>
      <c r="E78" s="158">
        <f t="shared" si="10"/>
        <v>784.53938436718386</v>
      </c>
      <c r="F78" s="157">
        <f t="shared" si="7"/>
        <v>3111.5345207532864</v>
      </c>
    </row>
    <row r="79" spans="1:6">
      <c r="A79" s="156">
        <f>+A78+30</f>
        <v>44849</v>
      </c>
      <c r="B79" s="157">
        <f t="shared" si="6"/>
        <v>3111.5345207532864</v>
      </c>
      <c r="C79" s="157">
        <f t="shared" si="8"/>
        <v>10.631076279240395</v>
      </c>
      <c r="D79" s="157">
        <f t="shared" si="9"/>
        <v>773.90830808794351</v>
      </c>
      <c r="E79" s="158">
        <f t="shared" si="10"/>
        <v>784.53938436718386</v>
      </c>
      <c r="F79" s="157">
        <f t="shared" si="7"/>
        <v>2337.6262126653428</v>
      </c>
    </row>
    <row r="80" spans="1:6">
      <c r="A80" s="156">
        <f t="shared" si="11"/>
        <v>44880</v>
      </c>
      <c r="B80" s="157">
        <f t="shared" si="6"/>
        <v>2337.6262126653428</v>
      </c>
      <c r="C80" s="157">
        <f t="shared" si="8"/>
        <v>7.9868895599399217</v>
      </c>
      <c r="D80" s="157">
        <f t="shared" si="9"/>
        <v>776.55249480724399</v>
      </c>
      <c r="E80" s="158">
        <f t="shared" si="10"/>
        <v>784.53938436718386</v>
      </c>
      <c r="F80" s="157">
        <f t="shared" si="7"/>
        <v>1561.0737178580989</v>
      </c>
    </row>
    <row r="81" spans="1:6">
      <c r="A81" s="156">
        <f>+A80+30</f>
        <v>44910</v>
      </c>
      <c r="B81" s="157">
        <f t="shared" si="6"/>
        <v>1561.0737178580989</v>
      </c>
      <c r="C81" s="157">
        <f t="shared" si="8"/>
        <v>5.3336685360151712</v>
      </c>
      <c r="D81" s="157">
        <f t="shared" si="9"/>
        <v>779.20571583116873</v>
      </c>
      <c r="E81" s="158">
        <f t="shared" si="10"/>
        <v>784.53938436718386</v>
      </c>
      <c r="F81" s="157">
        <f t="shared" si="7"/>
        <v>781.86800202693018</v>
      </c>
    </row>
    <row r="82" spans="1:6">
      <c r="A82" s="156">
        <f>+A81+31</f>
        <v>44941</v>
      </c>
      <c r="B82" s="157">
        <f t="shared" si="6"/>
        <v>781.86800202693018</v>
      </c>
      <c r="C82" s="157">
        <f t="shared" si="8"/>
        <v>2.671382340258678</v>
      </c>
      <c r="D82" s="157">
        <f t="shared" si="9"/>
        <v>781.86800202692518</v>
      </c>
      <c r="E82" s="158">
        <f t="shared" si="10"/>
        <v>784.53938436718386</v>
      </c>
      <c r="F82" s="157">
        <f t="shared" si="7"/>
        <v>5.0022208597511053E-12</v>
      </c>
    </row>
  </sheetData>
  <mergeCells count="14">
    <mergeCell ref="A8:B8"/>
    <mergeCell ref="D8:E8"/>
    <mergeCell ref="A5:B5"/>
    <mergeCell ref="D5:E5"/>
    <mergeCell ref="A6:B6"/>
    <mergeCell ref="D6:E6"/>
    <mergeCell ref="A7:B7"/>
    <mergeCell ref="D7:E7"/>
    <mergeCell ref="H5:I5"/>
    <mergeCell ref="K5:L5"/>
    <mergeCell ref="H6:I6"/>
    <mergeCell ref="K6:L6"/>
    <mergeCell ref="H7:I7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35"/>
  <sheetViews>
    <sheetView topLeftCell="C9" zoomScale="85" zoomScaleNormal="85" workbookViewId="0">
      <selection activeCell="L27" sqref="L27"/>
    </sheetView>
  </sheetViews>
  <sheetFormatPr baseColWidth="10" defaultColWidth="12" defaultRowHeight="15.6" customHeight="1" outlineLevelRow="2"/>
  <cols>
    <col min="1" max="1" width="24.625" style="3" customWidth="1"/>
    <col min="2" max="2" width="48.125" style="51" customWidth="1"/>
    <col min="3" max="3" width="17.75" style="3" customWidth="1"/>
    <col min="4" max="4" width="8.125" style="3" customWidth="1"/>
    <col min="5" max="5" width="16.625" style="4" customWidth="1"/>
    <col min="6" max="6" width="13.75" style="4" customWidth="1"/>
    <col min="7" max="7" width="15.75" style="4" customWidth="1"/>
    <col min="8" max="8" width="17.125" style="4" customWidth="1"/>
    <col min="9" max="9" width="14" style="4" customWidth="1"/>
    <col min="10" max="10" width="15.75" style="3" customWidth="1"/>
    <col min="11" max="11" width="13.75" style="3" customWidth="1"/>
    <col min="12" max="12" width="15.75" style="3" customWidth="1"/>
    <col min="13" max="13" width="13.5" style="3" customWidth="1"/>
    <col min="14" max="14" width="15.5" style="3" customWidth="1"/>
    <col min="15" max="16384" width="12" style="3"/>
  </cols>
  <sheetData>
    <row r="1" spans="1:15" ht="18">
      <c r="A1" s="3" t="s">
        <v>11</v>
      </c>
      <c r="C1" s="87" t="s">
        <v>148</v>
      </c>
      <c r="D1" s="87"/>
      <c r="E1" s="87"/>
      <c r="F1" s="87"/>
      <c r="G1" s="88"/>
      <c r="H1" s="88"/>
      <c r="I1" s="88"/>
      <c r="J1" s="62"/>
      <c r="K1" s="62"/>
      <c r="L1" s="62"/>
      <c r="M1" s="62"/>
      <c r="N1" s="62"/>
      <c r="O1" s="62"/>
    </row>
    <row r="2" spans="1:15" ht="15"/>
    <row r="3" spans="1:15" ht="18">
      <c r="A3" s="228" t="s">
        <v>149</v>
      </c>
      <c r="B3" s="229"/>
      <c r="C3" s="229"/>
      <c r="D3" s="230"/>
      <c r="E3" s="225" t="s">
        <v>82</v>
      </c>
      <c r="F3" s="226"/>
      <c r="G3" s="226"/>
      <c r="H3" s="227"/>
      <c r="I3" s="222" t="s">
        <v>83</v>
      </c>
      <c r="J3" s="223"/>
      <c r="K3" s="223"/>
      <c r="L3" s="223"/>
      <c r="M3" s="224"/>
      <c r="N3" s="10" t="s">
        <v>5</v>
      </c>
      <c r="O3" s="10" t="s">
        <v>45</v>
      </c>
    </row>
    <row r="4" spans="1:15" ht="44.25" customHeight="1">
      <c r="A4" s="45" t="s">
        <v>2</v>
      </c>
      <c r="B4" s="45" t="s">
        <v>3</v>
      </c>
      <c r="C4" s="45" t="s">
        <v>7</v>
      </c>
      <c r="D4" s="45" t="s">
        <v>1</v>
      </c>
      <c r="E4" s="52" t="s">
        <v>276</v>
      </c>
      <c r="F4" s="52" t="s">
        <v>277</v>
      </c>
      <c r="G4" s="52" t="s">
        <v>278</v>
      </c>
      <c r="H4" s="53" t="s">
        <v>279</v>
      </c>
      <c r="I4" s="54" t="s">
        <v>281</v>
      </c>
      <c r="J4" s="54" t="s">
        <v>280</v>
      </c>
      <c r="K4" s="54" t="s">
        <v>282</v>
      </c>
      <c r="L4" s="54" t="s">
        <v>283</v>
      </c>
      <c r="M4" s="55" t="s">
        <v>284</v>
      </c>
      <c r="N4" s="6" t="s">
        <v>160</v>
      </c>
      <c r="O4" s="6" t="s">
        <v>161</v>
      </c>
    </row>
    <row r="5" spans="1:15" ht="15.6" customHeight="1" outlineLevel="2">
      <c r="A5" s="47" t="s">
        <v>39</v>
      </c>
      <c r="B5" s="47" t="s">
        <v>8</v>
      </c>
      <c r="C5" s="48">
        <v>42737</v>
      </c>
      <c r="D5" s="45"/>
      <c r="E5" s="63">
        <v>30000</v>
      </c>
      <c r="F5" s="56"/>
      <c r="G5" s="56"/>
      <c r="H5" s="57">
        <f>+F5+E5-G5</f>
        <v>30000</v>
      </c>
      <c r="I5" s="64"/>
      <c r="J5" s="65"/>
      <c r="K5" s="65"/>
      <c r="L5" s="65"/>
      <c r="M5" s="59">
        <f>I5+J5+K5+L5</f>
        <v>0</v>
      </c>
      <c r="N5" s="11">
        <f t="shared" ref="N5:N26" si="0">+H5-M5</f>
        <v>30000</v>
      </c>
      <c r="O5" s="11"/>
    </row>
    <row r="6" spans="1:15" s="44" customFormat="1" ht="15.6" customHeight="1" outlineLevel="1">
      <c r="A6" s="66" t="s">
        <v>40</v>
      </c>
      <c r="B6" s="66"/>
      <c r="C6" s="90"/>
      <c r="D6" s="91"/>
      <c r="E6" s="92">
        <f t="shared" ref="E6:O6" si="1">SUBTOTAL(9,E5:E5)</f>
        <v>30000</v>
      </c>
      <c r="F6" s="60">
        <f t="shared" si="1"/>
        <v>0</v>
      </c>
      <c r="G6" s="60">
        <f t="shared" si="1"/>
        <v>0</v>
      </c>
      <c r="H6" s="60">
        <f t="shared" si="1"/>
        <v>30000</v>
      </c>
      <c r="I6" s="92">
        <f t="shared" si="1"/>
        <v>0</v>
      </c>
      <c r="J6" s="93">
        <f t="shared" si="1"/>
        <v>0</v>
      </c>
      <c r="K6" s="93">
        <f t="shared" si="1"/>
        <v>0</v>
      </c>
      <c r="L6" s="93">
        <f t="shared" si="1"/>
        <v>0</v>
      </c>
      <c r="M6" s="61">
        <f t="shared" si="1"/>
        <v>0</v>
      </c>
      <c r="N6" s="61">
        <f t="shared" si="0"/>
        <v>30000</v>
      </c>
      <c r="O6" s="61">
        <f t="shared" si="1"/>
        <v>0</v>
      </c>
    </row>
    <row r="7" spans="1:15" ht="15.6" customHeight="1" outlineLevel="2">
      <c r="A7" s="49" t="s">
        <v>13</v>
      </c>
      <c r="B7" s="47" t="s">
        <v>85</v>
      </c>
      <c r="C7" s="48">
        <v>42737</v>
      </c>
      <c r="D7" s="50">
        <v>5</v>
      </c>
      <c r="E7" s="56">
        <v>14850</v>
      </c>
      <c r="F7" s="56"/>
      <c r="G7" s="56"/>
      <c r="H7" s="57">
        <f>+F7+E7-G7</f>
        <v>14850</v>
      </c>
      <c r="I7" s="67">
        <f>+E7*10/12/D7</f>
        <v>2475</v>
      </c>
      <c r="J7" s="58">
        <f>E7/D7</f>
        <v>2970</v>
      </c>
      <c r="K7" s="58"/>
      <c r="L7" s="58"/>
      <c r="M7" s="59">
        <f>I7+J7+K7+L7</f>
        <v>5445</v>
      </c>
      <c r="N7" s="11">
        <f t="shared" si="0"/>
        <v>9405</v>
      </c>
      <c r="O7" s="11"/>
    </row>
    <row r="8" spans="1:15" ht="30.6" customHeight="1" outlineLevel="2">
      <c r="A8" s="49" t="s">
        <v>13</v>
      </c>
      <c r="B8" s="47" t="s">
        <v>15</v>
      </c>
      <c r="C8" s="46">
        <v>42753</v>
      </c>
      <c r="D8" s="50">
        <v>3</v>
      </c>
      <c r="E8" s="56">
        <v>3000</v>
      </c>
      <c r="F8" s="56"/>
      <c r="G8" s="56"/>
      <c r="H8" s="57">
        <f>+F8+E8-G8</f>
        <v>3000</v>
      </c>
      <c r="I8" s="67">
        <f>+E8*11.5/12/D8</f>
        <v>958.33333333333337</v>
      </c>
      <c r="J8" s="58">
        <f>E8/D8</f>
        <v>1000</v>
      </c>
      <c r="K8" s="58"/>
      <c r="L8" s="58"/>
      <c r="M8" s="59">
        <f>I8+J8+K8+L8</f>
        <v>1958.3333333333335</v>
      </c>
      <c r="N8" s="11">
        <f t="shared" si="0"/>
        <v>1041.6666666666665</v>
      </c>
      <c r="O8" s="11"/>
    </row>
    <row r="9" spans="1:15" ht="30.6" customHeight="1" outlineLevel="2">
      <c r="A9" s="49" t="s">
        <v>13</v>
      </c>
      <c r="B9" s="47" t="s">
        <v>104</v>
      </c>
      <c r="C9" s="46">
        <v>43412</v>
      </c>
      <c r="D9" s="50">
        <v>4</v>
      </c>
      <c r="E9" s="56"/>
      <c r="F9" s="56">
        <v>2750</v>
      </c>
      <c r="G9" s="56"/>
      <c r="H9" s="57">
        <f>+F9+E9-G9</f>
        <v>2750</v>
      </c>
      <c r="I9" s="67"/>
      <c r="J9" s="58">
        <f>+F9*(30+23)/360/D9</f>
        <v>101.21527777777777</v>
      </c>
      <c r="K9" s="58"/>
      <c r="L9" s="58"/>
      <c r="M9" s="59">
        <f>I9+J9+K9+L9</f>
        <v>101.21527777777777</v>
      </c>
      <c r="N9" s="11"/>
      <c r="O9" s="11">
        <f>+H9*(25%*1.25)*(2/12)-J9</f>
        <v>42.013888888888886</v>
      </c>
    </row>
    <row r="10" spans="1:15" s="44" customFormat="1" ht="15.6" customHeight="1" outlineLevel="1">
      <c r="A10" s="68" t="s">
        <v>20</v>
      </c>
      <c r="B10" s="66"/>
      <c r="C10" s="94"/>
      <c r="D10" s="93"/>
      <c r="E10" s="60">
        <f>SUBTOTAL(9,E7:E9)</f>
        <v>17850</v>
      </c>
      <c r="F10" s="60">
        <f>SUBTOTAL(9,F7:F9)</f>
        <v>2750</v>
      </c>
      <c r="G10" s="60">
        <f>SUBTOTAL(9,G7:G9)</f>
        <v>0</v>
      </c>
      <c r="H10" s="60">
        <f>SUBTOTAL(9,H7:H9)</f>
        <v>20600</v>
      </c>
      <c r="I10" s="60">
        <f t="shared" ref="I10:L10" si="2">SUBTOTAL(9,I7:I9)</f>
        <v>3433.3333333333335</v>
      </c>
      <c r="J10" s="60">
        <f>SUBTOTAL(9,J7:J9)</f>
        <v>4071.2152777777778</v>
      </c>
      <c r="K10" s="60">
        <f t="shared" si="2"/>
        <v>0</v>
      </c>
      <c r="L10" s="60">
        <f t="shared" si="2"/>
        <v>0</v>
      </c>
      <c r="M10" s="60">
        <f>SUBTOTAL(9,M7:M9)</f>
        <v>7504.5486111111113</v>
      </c>
      <c r="N10" s="61">
        <f t="shared" si="0"/>
        <v>13095.451388888889</v>
      </c>
      <c r="O10" s="61">
        <f t="shared" ref="O10" si="3">SUBTOTAL(9,O7:O8)</f>
        <v>0</v>
      </c>
    </row>
    <row r="11" spans="1:15" ht="15.6" customHeight="1" outlineLevel="2">
      <c r="A11" s="49" t="s">
        <v>6</v>
      </c>
      <c r="B11" s="47" t="s">
        <v>14</v>
      </c>
      <c r="C11" s="48">
        <v>42737</v>
      </c>
      <c r="D11" s="50">
        <v>10</v>
      </c>
      <c r="E11" s="56">
        <v>5220</v>
      </c>
      <c r="F11" s="56"/>
      <c r="G11" s="56"/>
      <c r="H11" s="57">
        <f>+F11+E11-G11</f>
        <v>5220</v>
      </c>
      <c r="I11" s="67">
        <f>+E11/D11</f>
        <v>522</v>
      </c>
      <c r="J11" s="58">
        <f>E11/D11</f>
        <v>522</v>
      </c>
      <c r="K11" s="58"/>
      <c r="L11" s="58"/>
      <c r="M11" s="59">
        <f>I11+J11+K11+L11</f>
        <v>1044</v>
      </c>
      <c r="N11" s="11">
        <f t="shared" si="0"/>
        <v>4176</v>
      </c>
      <c r="O11" s="11"/>
    </row>
    <row r="12" spans="1:15" ht="15.6" customHeight="1" outlineLevel="2">
      <c r="A12" s="49" t="s">
        <v>6</v>
      </c>
      <c r="B12" s="47" t="s">
        <v>12</v>
      </c>
      <c r="C12" s="48">
        <v>42737</v>
      </c>
      <c r="D12" s="50">
        <v>10</v>
      </c>
      <c r="E12" s="56">
        <v>8900</v>
      </c>
      <c r="F12" s="56"/>
      <c r="G12" s="56"/>
      <c r="H12" s="57">
        <f>+F12+E12-G12</f>
        <v>8900</v>
      </c>
      <c r="I12" s="67">
        <f>+E12/D12</f>
        <v>890</v>
      </c>
      <c r="J12" s="58">
        <f>E12/D12</f>
        <v>890</v>
      </c>
      <c r="K12" s="58"/>
      <c r="L12" s="58"/>
      <c r="M12" s="59">
        <f>I12+J12+K12+L12</f>
        <v>1780</v>
      </c>
      <c r="N12" s="11">
        <f t="shared" si="0"/>
        <v>7120</v>
      </c>
      <c r="O12" s="11"/>
    </row>
    <row r="13" spans="1:15" ht="15.6" customHeight="1" outlineLevel="2">
      <c r="A13" s="49" t="s">
        <v>6</v>
      </c>
      <c r="B13" s="47" t="s">
        <v>42</v>
      </c>
      <c r="C13" s="46" t="s">
        <v>150</v>
      </c>
      <c r="D13" s="50">
        <v>10</v>
      </c>
      <c r="E13" s="56">
        <v>14320</v>
      </c>
      <c r="F13" s="56"/>
      <c r="G13" s="56"/>
      <c r="H13" s="57">
        <f>+F13+E13-G13</f>
        <v>14320</v>
      </c>
      <c r="I13" s="67">
        <f>+E13/D13</f>
        <v>1432</v>
      </c>
      <c r="J13" s="58">
        <f>E13/D13</f>
        <v>1432</v>
      </c>
      <c r="K13" s="58"/>
      <c r="L13" s="58"/>
      <c r="M13" s="59">
        <f>I13+J13+K13+L13</f>
        <v>2864</v>
      </c>
      <c r="N13" s="11">
        <f t="shared" si="0"/>
        <v>11456</v>
      </c>
      <c r="O13" s="11"/>
    </row>
    <row r="14" spans="1:15" ht="15.6" customHeight="1" outlineLevel="2">
      <c r="A14" s="49" t="s">
        <v>6</v>
      </c>
      <c r="B14" s="47" t="s">
        <v>43</v>
      </c>
      <c r="C14" s="46">
        <v>42949</v>
      </c>
      <c r="D14" s="50">
        <v>2</v>
      </c>
      <c r="E14" s="56">
        <v>3720</v>
      </c>
      <c r="F14" s="69"/>
      <c r="G14" s="56">
        <v>3720</v>
      </c>
      <c r="H14" s="57">
        <f>+F14+E14-G14</f>
        <v>0</v>
      </c>
      <c r="I14" s="67">
        <f>+E14/D14*5/12</f>
        <v>775</v>
      </c>
      <c r="J14" s="58">
        <f>E14/D14*11/12</f>
        <v>1705</v>
      </c>
      <c r="K14" s="58">
        <f>+G14-I14-J14</f>
        <v>1240</v>
      </c>
      <c r="L14" s="58">
        <f>-I14-J14-K14</f>
        <v>-3720</v>
      </c>
      <c r="M14" s="59">
        <f>I14+J14+K14+L14</f>
        <v>0</v>
      </c>
      <c r="N14" s="11">
        <f t="shared" si="0"/>
        <v>0</v>
      </c>
      <c r="O14" s="11"/>
    </row>
    <row r="15" spans="1:15" ht="15.6" customHeight="1" outlineLevel="2">
      <c r="A15" s="49" t="s">
        <v>6</v>
      </c>
      <c r="B15" s="47" t="s">
        <v>43</v>
      </c>
      <c r="C15" s="46">
        <v>43463</v>
      </c>
      <c r="D15" s="50">
        <v>4</v>
      </c>
      <c r="E15" s="56"/>
      <c r="F15" s="69">
        <f>E35</f>
        <v>4258.04</v>
      </c>
      <c r="G15" s="56"/>
      <c r="H15" s="57">
        <f>+F15+E15-G15</f>
        <v>4258.04</v>
      </c>
      <c r="I15" s="67"/>
      <c r="J15" s="58"/>
      <c r="K15" s="58"/>
      <c r="L15" s="58"/>
      <c r="M15" s="59">
        <f>I15+J15+K15+L15</f>
        <v>0</v>
      </c>
      <c r="N15" s="11">
        <f t="shared" si="0"/>
        <v>4258.04</v>
      </c>
      <c r="O15" s="11"/>
    </row>
    <row r="16" spans="1:15" s="44" customFormat="1" ht="15.6" customHeight="1" outlineLevel="1">
      <c r="A16" s="68" t="s">
        <v>19</v>
      </c>
      <c r="B16" s="66"/>
      <c r="C16" s="94"/>
      <c r="D16" s="93"/>
      <c r="E16" s="60">
        <f t="shared" ref="E16:O16" si="4">SUBTOTAL(9,E11:E15)</f>
        <v>32160</v>
      </c>
      <c r="F16" s="61">
        <f t="shared" si="4"/>
        <v>4258.04</v>
      </c>
      <c r="G16" s="60">
        <f t="shared" si="4"/>
        <v>3720</v>
      </c>
      <c r="H16" s="60">
        <f t="shared" si="4"/>
        <v>32698.04</v>
      </c>
      <c r="I16" s="60">
        <f t="shared" si="4"/>
        <v>3619</v>
      </c>
      <c r="J16" s="61">
        <f t="shared" si="4"/>
        <v>4549</v>
      </c>
      <c r="K16" s="61">
        <f t="shared" si="4"/>
        <v>1240</v>
      </c>
      <c r="L16" s="61">
        <f t="shared" si="4"/>
        <v>-3720</v>
      </c>
      <c r="M16" s="61">
        <f t="shared" si="4"/>
        <v>5688</v>
      </c>
      <c r="N16" s="61">
        <f t="shared" si="0"/>
        <v>27010.04</v>
      </c>
      <c r="O16" s="61">
        <f t="shared" si="4"/>
        <v>0</v>
      </c>
    </row>
    <row r="17" spans="1:15" ht="30.6" customHeight="1" outlineLevel="2">
      <c r="A17" s="49" t="s">
        <v>4</v>
      </c>
      <c r="B17" s="47" t="s">
        <v>18</v>
      </c>
      <c r="C17" s="48">
        <v>42738</v>
      </c>
      <c r="D17" s="50">
        <v>4</v>
      </c>
      <c r="E17" s="63">
        <v>17800</v>
      </c>
      <c r="F17" s="56"/>
      <c r="G17" s="56">
        <v>17800</v>
      </c>
      <c r="H17" s="57">
        <f>+F17+E17-G17</f>
        <v>0</v>
      </c>
      <c r="I17" s="67">
        <f>+E17/D17</f>
        <v>4450</v>
      </c>
      <c r="J17" s="58">
        <f>E17/D17*(30*11+17)/360</f>
        <v>4289.3055555555557</v>
      </c>
      <c r="K17" s="58"/>
      <c r="L17" s="58">
        <f>-I17-J17</f>
        <v>-8739.3055555555547</v>
      </c>
      <c r="M17" s="59">
        <f>I17+J17+K17+L17</f>
        <v>0</v>
      </c>
      <c r="N17" s="11">
        <f t="shared" si="0"/>
        <v>0</v>
      </c>
      <c r="O17" s="11"/>
    </row>
    <row r="18" spans="1:15" ht="15.6" customHeight="1" outlineLevel="2">
      <c r="A18" s="49" t="s">
        <v>4</v>
      </c>
      <c r="B18" s="47" t="s">
        <v>44</v>
      </c>
      <c r="C18" s="46">
        <v>43409</v>
      </c>
      <c r="D18" s="50">
        <v>4</v>
      </c>
      <c r="E18" s="63"/>
      <c r="F18" s="56">
        <v>19000</v>
      </c>
      <c r="G18" s="56"/>
      <c r="H18" s="57">
        <f>+F18+E18-G18</f>
        <v>19000</v>
      </c>
      <c r="I18" s="67">
        <f>+E18/D18</f>
        <v>0</v>
      </c>
      <c r="J18" s="58">
        <f>F18/D18*56/360</f>
        <v>738.88888888888891</v>
      </c>
      <c r="K18" s="58"/>
      <c r="L18" s="58"/>
      <c r="M18" s="59">
        <f>I18+J18+K18+L18</f>
        <v>738.88888888888891</v>
      </c>
      <c r="N18" s="11">
        <f t="shared" si="0"/>
        <v>18261.111111111109</v>
      </c>
      <c r="O18" s="11"/>
    </row>
    <row r="19" spans="1:15" s="44" customFormat="1" ht="15.6" customHeight="1" outlineLevel="1">
      <c r="A19" s="68" t="s">
        <v>22</v>
      </c>
      <c r="B19" s="66"/>
      <c r="C19" s="94"/>
      <c r="D19" s="93"/>
      <c r="E19" s="92">
        <f t="shared" ref="E19:O19" si="5">SUBTOTAL(9,E17:E18)</f>
        <v>17800</v>
      </c>
      <c r="F19" s="60">
        <f t="shared" si="5"/>
        <v>19000</v>
      </c>
      <c r="G19" s="60">
        <f t="shared" si="5"/>
        <v>17800</v>
      </c>
      <c r="H19" s="60">
        <f t="shared" si="5"/>
        <v>19000</v>
      </c>
      <c r="I19" s="60">
        <f t="shared" si="5"/>
        <v>4450</v>
      </c>
      <c r="J19" s="61">
        <f t="shared" si="5"/>
        <v>5028.1944444444443</v>
      </c>
      <c r="K19" s="61">
        <f t="shared" si="5"/>
        <v>0</v>
      </c>
      <c r="L19" s="61">
        <f t="shared" si="5"/>
        <v>-8739.3055555555547</v>
      </c>
      <c r="M19" s="61">
        <f t="shared" si="5"/>
        <v>738.88888888888891</v>
      </c>
      <c r="N19" s="61">
        <f t="shared" si="0"/>
        <v>18261.111111111109</v>
      </c>
      <c r="O19" s="61">
        <f t="shared" si="5"/>
        <v>0</v>
      </c>
    </row>
    <row r="20" spans="1:15" ht="15.6" customHeight="1" outlineLevel="2">
      <c r="A20" s="49" t="s">
        <v>9</v>
      </c>
      <c r="B20" s="47" t="s">
        <v>16</v>
      </c>
      <c r="C20" s="48">
        <v>42737</v>
      </c>
      <c r="D20" s="50">
        <v>5</v>
      </c>
      <c r="E20" s="56">
        <v>1780</v>
      </c>
      <c r="F20" s="56"/>
      <c r="G20" s="56"/>
      <c r="H20" s="57">
        <f>+F20+E20-G20</f>
        <v>1780</v>
      </c>
      <c r="I20" s="67">
        <f>+E20/D20</f>
        <v>356</v>
      </c>
      <c r="J20" s="58">
        <f>E20/D20</f>
        <v>356</v>
      </c>
      <c r="K20" s="58"/>
      <c r="L20" s="58"/>
      <c r="M20" s="59">
        <f>I20+J20+K20+L20</f>
        <v>712</v>
      </c>
      <c r="N20" s="11">
        <f t="shared" si="0"/>
        <v>1068</v>
      </c>
      <c r="O20" s="11"/>
    </row>
    <row r="21" spans="1:15" ht="15.6" customHeight="1" outlineLevel="2">
      <c r="A21" s="49" t="s">
        <v>9</v>
      </c>
      <c r="B21" s="47" t="s">
        <v>17</v>
      </c>
      <c r="C21" s="48">
        <v>42737</v>
      </c>
      <c r="D21" s="50">
        <v>5</v>
      </c>
      <c r="E21" s="56">
        <v>2785</v>
      </c>
      <c r="F21" s="56"/>
      <c r="G21" s="56"/>
      <c r="H21" s="57">
        <f>+F21+E21-G21</f>
        <v>2785</v>
      </c>
      <c r="I21" s="67">
        <f>+E21/D21</f>
        <v>557</v>
      </c>
      <c r="J21" s="58">
        <f>E21/D21</f>
        <v>557</v>
      </c>
      <c r="K21" s="58"/>
      <c r="L21" s="58"/>
      <c r="M21" s="59">
        <f>I21+J21+K21+L21</f>
        <v>1114</v>
      </c>
      <c r="N21" s="11">
        <f t="shared" si="0"/>
        <v>1671</v>
      </c>
      <c r="O21" s="11"/>
    </row>
    <row r="22" spans="1:15" s="44" customFormat="1" ht="15.6" customHeight="1" outlineLevel="1">
      <c r="A22" s="68" t="s">
        <v>21</v>
      </c>
      <c r="B22" s="66"/>
      <c r="C22" s="94"/>
      <c r="D22" s="93"/>
      <c r="E22" s="60">
        <f t="shared" ref="E22:O22" si="6">SUBTOTAL(9,E20:E21)</f>
        <v>4565</v>
      </c>
      <c r="F22" s="60">
        <f t="shared" si="6"/>
        <v>0</v>
      </c>
      <c r="G22" s="60">
        <f t="shared" si="6"/>
        <v>0</v>
      </c>
      <c r="H22" s="60">
        <f t="shared" si="6"/>
        <v>4565</v>
      </c>
      <c r="I22" s="60">
        <f t="shared" si="6"/>
        <v>913</v>
      </c>
      <c r="J22" s="61">
        <f t="shared" si="6"/>
        <v>913</v>
      </c>
      <c r="K22" s="61">
        <f t="shared" si="6"/>
        <v>0</v>
      </c>
      <c r="L22" s="61">
        <f t="shared" si="6"/>
        <v>0</v>
      </c>
      <c r="M22" s="61">
        <f t="shared" si="6"/>
        <v>1826</v>
      </c>
      <c r="N22" s="61">
        <f t="shared" si="0"/>
        <v>2739</v>
      </c>
      <c r="O22" s="61">
        <f t="shared" si="6"/>
        <v>0</v>
      </c>
    </row>
    <row r="23" spans="1:15" ht="15.6" customHeight="1" outlineLevel="2">
      <c r="A23" s="50" t="s">
        <v>10</v>
      </c>
      <c r="B23" s="47" t="s">
        <v>41</v>
      </c>
      <c r="C23" s="48">
        <v>42737</v>
      </c>
      <c r="D23" s="50">
        <v>3</v>
      </c>
      <c r="E23" s="56">
        <v>1440</v>
      </c>
      <c r="F23" s="56"/>
      <c r="G23" s="56"/>
      <c r="H23" s="57">
        <f>+F23+E23-G23</f>
        <v>1440</v>
      </c>
      <c r="I23" s="67">
        <f>+E23/D23</f>
        <v>480</v>
      </c>
      <c r="J23" s="58">
        <f>E23/D23</f>
        <v>480</v>
      </c>
      <c r="K23" s="58"/>
      <c r="L23" s="58"/>
      <c r="M23" s="59">
        <f>I23+J23+K23+L23</f>
        <v>960</v>
      </c>
      <c r="N23" s="11">
        <f t="shared" si="0"/>
        <v>480</v>
      </c>
      <c r="O23" s="11"/>
    </row>
    <row r="24" spans="1:15" ht="15.6" customHeight="1" outlineLevel="2">
      <c r="A24" s="50" t="s">
        <v>10</v>
      </c>
      <c r="B24" s="47" t="s">
        <v>41</v>
      </c>
      <c r="C24" s="48">
        <v>42737</v>
      </c>
      <c r="D24" s="50">
        <v>3</v>
      </c>
      <c r="E24" s="56">
        <v>1440</v>
      </c>
      <c r="F24" s="56"/>
      <c r="G24" s="56"/>
      <c r="H24" s="57">
        <f>+F24+E24-G24</f>
        <v>1440</v>
      </c>
      <c r="I24" s="67">
        <f>+E24/D24</f>
        <v>480</v>
      </c>
      <c r="J24" s="58">
        <f>E24/D24</f>
        <v>480</v>
      </c>
      <c r="K24" s="58"/>
      <c r="L24" s="58"/>
      <c r="M24" s="59">
        <f>I24+J24+K24+L24</f>
        <v>960</v>
      </c>
      <c r="N24" s="11">
        <f t="shared" si="0"/>
        <v>480</v>
      </c>
      <c r="O24" s="11"/>
    </row>
    <row r="25" spans="1:15" s="44" customFormat="1" ht="15.6" customHeight="1" outlineLevel="1" thickBot="1">
      <c r="A25" s="70" t="s">
        <v>23</v>
      </c>
      <c r="B25" s="95"/>
      <c r="C25" s="96"/>
      <c r="D25" s="70"/>
      <c r="E25" s="71">
        <f t="shared" ref="E25:O25" si="7">SUBTOTAL(9,E23:E24)</f>
        <v>2880</v>
      </c>
      <c r="F25" s="71">
        <f t="shared" si="7"/>
        <v>0</v>
      </c>
      <c r="G25" s="71">
        <f t="shared" si="7"/>
        <v>0</v>
      </c>
      <c r="H25" s="71">
        <f t="shared" si="7"/>
        <v>2880</v>
      </c>
      <c r="I25" s="71">
        <f t="shared" si="7"/>
        <v>960</v>
      </c>
      <c r="J25" s="72">
        <f t="shared" si="7"/>
        <v>960</v>
      </c>
      <c r="K25" s="72">
        <f t="shared" si="7"/>
        <v>0</v>
      </c>
      <c r="L25" s="72">
        <f t="shared" si="7"/>
        <v>0</v>
      </c>
      <c r="M25" s="72">
        <f t="shared" si="7"/>
        <v>1920</v>
      </c>
      <c r="N25" s="72">
        <f t="shared" si="0"/>
        <v>960</v>
      </c>
      <c r="O25" s="72">
        <f t="shared" si="7"/>
        <v>0</v>
      </c>
    </row>
    <row r="26" spans="1:15" s="9" customFormat="1" ht="15.6" customHeight="1" thickBot="1">
      <c r="A26" s="73" t="s">
        <v>24</v>
      </c>
      <c r="B26" s="74"/>
      <c r="C26" s="75"/>
      <c r="D26" s="76"/>
      <c r="E26" s="77">
        <f t="shared" ref="E26:M26" si="8">SUBTOTAL(9,E5:E24)</f>
        <v>105255</v>
      </c>
      <c r="F26" s="77">
        <f t="shared" si="8"/>
        <v>26008.04</v>
      </c>
      <c r="G26" s="77">
        <f t="shared" si="8"/>
        <v>21520</v>
      </c>
      <c r="H26" s="77">
        <f t="shared" si="8"/>
        <v>109743.03999999999</v>
      </c>
      <c r="I26" s="78">
        <f t="shared" si="8"/>
        <v>13375.333333333334</v>
      </c>
      <c r="J26" s="79">
        <f t="shared" si="8"/>
        <v>15521.409722222221</v>
      </c>
      <c r="K26" s="79">
        <f t="shared" si="8"/>
        <v>1240</v>
      </c>
      <c r="L26" s="79">
        <f t="shared" si="8"/>
        <v>-12459.305555555555</v>
      </c>
      <c r="M26" s="79">
        <f t="shared" si="8"/>
        <v>17677.4375</v>
      </c>
      <c r="N26" s="80">
        <f t="shared" si="0"/>
        <v>92065.602499999994</v>
      </c>
      <c r="O26" s="81">
        <f>SUBTOTAL(9,O5:O24)</f>
        <v>42.013888888888886</v>
      </c>
    </row>
    <row r="27" spans="1:15" ht="15.6" customHeight="1" outlineLevel="1">
      <c r="B27" s="82"/>
      <c r="J27" s="8"/>
      <c r="M27" s="8"/>
    </row>
    <row r="28" spans="1:15" ht="15.6" customHeight="1" outlineLevel="1">
      <c r="J28" s="8"/>
      <c r="M28" s="8"/>
    </row>
    <row r="29" spans="1:15" ht="15.6" customHeight="1" outlineLevel="1">
      <c r="B29" s="231" t="s">
        <v>84</v>
      </c>
      <c r="C29" s="232"/>
      <c r="D29" s="232"/>
      <c r="E29" s="233"/>
    </row>
    <row r="30" spans="1:15" ht="15.6" customHeight="1" outlineLevel="1">
      <c r="B30" s="86" t="s">
        <v>48</v>
      </c>
      <c r="C30" s="37"/>
      <c r="D30" s="83"/>
      <c r="E30" s="11">
        <v>707</v>
      </c>
    </row>
    <row r="31" spans="1:15" ht="15.6" customHeight="1" outlineLevel="1">
      <c r="B31" s="86" t="s">
        <v>47</v>
      </c>
      <c r="C31" s="37"/>
      <c r="D31" s="84"/>
      <c r="E31" s="7">
        <v>1032</v>
      </c>
    </row>
    <row r="32" spans="1:15" ht="15.6" customHeight="1" outlineLevel="2">
      <c r="B32" s="86" t="s">
        <v>46</v>
      </c>
      <c r="C32" s="37"/>
      <c r="D32" s="84"/>
      <c r="E32" s="7">
        <v>810</v>
      </c>
    </row>
    <row r="33" spans="1:15" ht="15.6" customHeight="1" outlineLevel="1">
      <c r="A33" s="9"/>
      <c r="B33" s="86" t="s">
        <v>87</v>
      </c>
      <c r="C33" s="37"/>
      <c r="D33" s="84"/>
      <c r="E33" s="7">
        <v>1200</v>
      </c>
      <c r="O33" s="3">
        <f t="shared" ref="I33:O33" si="9">SUBTOTAL(9,O32:O32)</f>
        <v>0</v>
      </c>
    </row>
    <row r="34" spans="1:15" ht="15.6" customHeight="1">
      <c r="B34" s="234" t="s">
        <v>86</v>
      </c>
      <c r="C34" s="235"/>
      <c r="D34" s="236"/>
      <c r="E34" s="7">
        <v>509.04</v>
      </c>
    </row>
    <row r="35" spans="1:15" ht="15.6" customHeight="1">
      <c r="A35" s="5"/>
      <c r="B35" s="85"/>
      <c r="D35" s="4"/>
      <c r="E35" s="7">
        <f>SUM(E30:E34)</f>
        <v>4258.04</v>
      </c>
    </row>
  </sheetData>
  <mergeCells count="5">
    <mergeCell ref="I3:M3"/>
    <mergeCell ref="E3:H3"/>
    <mergeCell ref="A3:D3"/>
    <mergeCell ref="B29:E29"/>
    <mergeCell ref="B34:D34"/>
  </mergeCells>
  <pageMargins left="0.19" right="0.17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17"/>
  <sheetViews>
    <sheetView workbookViewId="0">
      <selection activeCell="A17" sqref="A17"/>
    </sheetView>
  </sheetViews>
  <sheetFormatPr baseColWidth="10" defaultColWidth="11" defaultRowHeight="15"/>
  <cols>
    <col min="1" max="2" width="9.125" style="1" customWidth="1"/>
    <col min="3" max="5" width="10" style="1" customWidth="1"/>
    <col min="6" max="6" width="10.75" style="1" customWidth="1"/>
    <col min="7" max="7" width="10" style="1" customWidth="1"/>
    <col min="8" max="8" width="10.75" style="1" customWidth="1"/>
    <col min="9" max="12" width="10" style="1" customWidth="1"/>
    <col min="13" max="13" width="9.125" style="1" customWidth="1"/>
    <col min="14" max="16384" width="11" style="1"/>
  </cols>
  <sheetData>
    <row r="1" spans="1:14">
      <c r="A1" s="1" t="s">
        <v>11</v>
      </c>
    </row>
    <row r="3" spans="1:14" ht="15.75">
      <c r="A3" s="242" t="s">
        <v>159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4" ht="15.75" thickBot="1"/>
    <row r="5" spans="1:14" ht="16.5" thickBot="1">
      <c r="E5" s="237" t="s">
        <v>64</v>
      </c>
      <c r="F5" s="238"/>
      <c r="G5" s="238"/>
      <c r="H5" s="239"/>
      <c r="I5" s="237" t="s">
        <v>65</v>
      </c>
      <c r="J5" s="238"/>
      <c r="K5" s="238"/>
      <c r="L5" s="239"/>
      <c r="M5" s="240" t="s">
        <v>66</v>
      </c>
    </row>
    <row r="6" spans="1:14" ht="30">
      <c r="A6" s="19" t="s">
        <v>68</v>
      </c>
      <c r="B6" s="20" t="s">
        <v>69</v>
      </c>
      <c r="C6" s="21" t="s">
        <v>67</v>
      </c>
      <c r="D6" s="22" t="s">
        <v>61</v>
      </c>
      <c r="E6" s="38" t="s">
        <v>157</v>
      </c>
      <c r="F6" s="39" t="s">
        <v>62</v>
      </c>
      <c r="G6" s="39" t="s">
        <v>63</v>
      </c>
      <c r="H6" s="40" t="s">
        <v>158</v>
      </c>
      <c r="I6" s="41" t="s">
        <v>157</v>
      </c>
      <c r="J6" s="42" t="s">
        <v>62</v>
      </c>
      <c r="K6" s="42" t="s">
        <v>63</v>
      </c>
      <c r="L6" s="43" t="s">
        <v>158</v>
      </c>
      <c r="M6" s="241"/>
    </row>
    <row r="7" spans="1:14" ht="23.25" customHeight="1">
      <c r="A7" s="16" t="s">
        <v>58</v>
      </c>
      <c r="B7" s="2" t="s">
        <v>59</v>
      </c>
      <c r="C7" s="23">
        <v>696</v>
      </c>
      <c r="D7" s="24" t="s">
        <v>151</v>
      </c>
      <c r="E7" s="25">
        <v>696</v>
      </c>
      <c r="F7" s="23"/>
      <c r="G7" s="23">
        <v>696</v>
      </c>
      <c r="H7" s="26">
        <f t="shared" ref="H7:H12" si="0">+E7+F7-G7</f>
        <v>0</v>
      </c>
      <c r="I7" s="25">
        <v>580</v>
      </c>
      <c r="J7" s="23"/>
      <c r="K7" s="23">
        <v>580</v>
      </c>
      <c r="L7" s="26">
        <f>+I7+J7-K7</f>
        <v>0</v>
      </c>
      <c r="M7" s="14"/>
      <c r="N7" s="12"/>
    </row>
    <row r="8" spans="1:14" ht="23.25" customHeight="1">
      <c r="A8" s="16" t="s">
        <v>49</v>
      </c>
      <c r="B8" s="2" t="s">
        <v>54</v>
      </c>
      <c r="C8" s="23">
        <v>3720</v>
      </c>
      <c r="D8" s="24" t="s">
        <v>152</v>
      </c>
      <c r="E8" s="25">
        <v>3720</v>
      </c>
      <c r="F8" s="23"/>
      <c r="G8" s="23">
        <v>2000</v>
      </c>
      <c r="H8" s="26">
        <f t="shared" si="0"/>
        <v>1720</v>
      </c>
      <c r="I8" s="25">
        <v>1550</v>
      </c>
      <c r="J8" s="23"/>
      <c r="K8" s="23">
        <f>2000/1.2*0.5</f>
        <v>833.33333333333337</v>
      </c>
      <c r="L8" s="26">
        <f>+I8+J8-K8</f>
        <v>716.66666666666663</v>
      </c>
      <c r="M8" s="15">
        <v>0.5</v>
      </c>
      <c r="N8" s="12"/>
    </row>
    <row r="9" spans="1:14" ht="23.25" customHeight="1">
      <c r="A9" s="16" t="s">
        <v>50</v>
      </c>
      <c r="B9" s="2" t="s">
        <v>55</v>
      </c>
      <c r="C9" s="23">
        <v>1812</v>
      </c>
      <c r="D9" s="24" t="s">
        <v>153</v>
      </c>
      <c r="E9" s="25"/>
      <c r="F9" s="23">
        <v>1812</v>
      </c>
      <c r="G9" s="23"/>
      <c r="H9" s="26">
        <f t="shared" si="0"/>
        <v>1812</v>
      </c>
      <c r="I9" s="27"/>
      <c r="J9" s="23">
        <f>H9*M9/1.2</f>
        <v>906.00000000000011</v>
      </c>
      <c r="K9" s="23"/>
      <c r="L9" s="26">
        <f t="shared" ref="L9:L12" si="1">+I9+J9-K9</f>
        <v>906.00000000000011</v>
      </c>
      <c r="M9" s="15">
        <v>0.6</v>
      </c>
      <c r="N9" s="12"/>
    </row>
    <row r="10" spans="1:14" ht="23.25" customHeight="1">
      <c r="A10" s="16" t="s">
        <v>52</v>
      </c>
      <c r="B10" s="2" t="s">
        <v>56</v>
      </c>
      <c r="C10" s="23">
        <v>4260</v>
      </c>
      <c r="D10" s="24" t="s">
        <v>154</v>
      </c>
      <c r="E10" s="25"/>
      <c r="F10" s="23">
        <v>4260</v>
      </c>
      <c r="G10" s="23"/>
      <c r="H10" s="26">
        <f t="shared" si="0"/>
        <v>4260</v>
      </c>
      <c r="I10" s="25"/>
      <c r="J10" s="23">
        <f>H10*M10/1.2</f>
        <v>2130</v>
      </c>
      <c r="K10" s="23"/>
      <c r="L10" s="26">
        <f t="shared" si="1"/>
        <v>2130</v>
      </c>
      <c r="M10" s="15">
        <v>0.6</v>
      </c>
      <c r="N10" s="12"/>
    </row>
    <row r="11" spans="1:14" ht="23.25" customHeight="1">
      <c r="A11" s="16" t="s">
        <v>53</v>
      </c>
      <c r="B11" s="2" t="s">
        <v>60</v>
      </c>
      <c r="C11" s="23">
        <v>2856</v>
      </c>
      <c r="D11" s="24" t="s">
        <v>155</v>
      </c>
      <c r="E11" s="25"/>
      <c r="F11" s="23">
        <v>2856</v>
      </c>
      <c r="G11" s="23"/>
      <c r="H11" s="26">
        <f t="shared" si="0"/>
        <v>2856</v>
      </c>
      <c r="I11" s="25"/>
      <c r="J11" s="23">
        <f>H11*M11/1.2</f>
        <v>1428</v>
      </c>
      <c r="K11" s="23"/>
      <c r="L11" s="26">
        <f t="shared" si="1"/>
        <v>1428</v>
      </c>
      <c r="M11" s="15">
        <v>0.6</v>
      </c>
      <c r="N11" s="12"/>
    </row>
    <row r="12" spans="1:14" ht="23.25" customHeight="1" thickBot="1">
      <c r="A12" s="17" t="s">
        <v>51</v>
      </c>
      <c r="B12" s="18" t="s">
        <v>57</v>
      </c>
      <c r="C12" s="28">
        <v>2136</v>
      </c>
      <c r="D12" s="29" t="s">
        <v>156</v>
      </c>
      <c r="E12" s="30"/>
      <c r="F12" s="31">
        <v>2136</v>
      </c>
      <c r="G12" s="31"/>
      <c r="H12" s="32">
        <f t="shared" si="0"/>
        <v>2136</v>
      </c>
      <c r="I12" s="30"/>
      <c r="J12" s="31">
        <f>H12*M12/1.2</f>
        <v>534</v>
      </c>
      <c r="K12" s="31"/>
      <c r="L12" s="32">
        <f t="shared" si="1"/>
        <v>534</v>
      </c>
      <c r="M12" s="15">
        <v>0.3</v>
      </c>
      <c r="N12" s="12"/>
    </row>
    <row r="13" spans="1:14" ht="23.25" customHeight="1" thickBot="1">
      <c r="C13" s="33"/>
      <c r="D13" s="33"/>
      <c r="E13" s="34">
        <f t="shared" ref="E13:L13" si="2">SUM(E7:E12)</f>
        <v>4416</v>
      </c>
      <c r="F13" s="35">
        <f t="shared" si="2"/>
        <v>11064</v>
      </c>
      <c r="G13" s="35">
        <f t="shared" si="2"/>
        <v>2696</v>
      </c>
      <c r="H13" s="36">
        <f t="shared" si="2"/>
        <v>12784</v>
      </c>
      <c r="I13" s="34">
        <f t="shared" si="2"/>
        <v>2130</v>
      </c>
      <c r="J13" s="35">
        <f t="shared" si="2"/>
        <v>4998</v>
      </c>
      <c r="K13" s="35">
        <f t="shared" si="2"/>
        <v>1413.3333333333335</v>
      </c>
      <c r="L13" s="36">
        <f t="shared" si="2"/>
        <v>5714.666666666667</v>
      </c>
    </row>
    <row r="16" spans="1:14">
      <c r="H16" s="13"/>
    </row>
    <row r="17" spans="9:9">
      <c r="I17" s="13"/>
    </row>
  </sheetData>
  <mergeCells count="4">
    <mergeCell ref="E5:H5"/>
    <mergeCell ref="I5:L5"/>
    <mergeCell ref="M5:M6"/>
    <mergeCell ref="A3:L3"/>
  </mergeCells>
  <printOptions horizontalCentered="1" verticalCentered="1"/>
  <pageMargins left="0.25" right="0.17" top="0.74803149606299213" bottom="0.74803149606299213" header="0.31496062992125984" footer="0.31496062992125984"/>
  <pageSetup paperSize="9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2"/>
  <sheetViews>
    <sheetView workbookViewId="0">
      <selection activeCell="D10" sqref="D10"/>
    </sheetView>
  </sheetViews>
  <sheetFormatPr baseColWidth="10" defaultColWidth="11.25" defaultRowHeight="15"/>
  <cols>
    <col min="1" max="1" width="8.125" style="1" customWidth="1"/>
    <col min="2" max="2" width="24.875" style="1" customWidth="1"/>
    <col min="3" max="3" width="13.75" style="1" customWidth="1"/>
    <col min="4" max="4" width="14.25" style="1" customWidth="1"/>
    <col min="5" max="5" width="8.625" style="1" customWidth="1"/>
    <col min="6" max="7" width="12.5" style="1" customWidth="1"/>
    <col min="8" max="8" width="12.375" style="1" customWidth="1"/>
    <col min="9" max="9" width="13" style="1" customWidth="1"/>
    <col min="10" max="10" width="12.875" style="1" bestFit="1" customWidth="1"/>
    <col min="11" max="11" width="20.75" style="1" customWidth="1"/>
    <col min="12" max="12" width="12.875" style="1" bestFit="1" customWidth="1"/>
    <col min="13" max="16384" width="11.25" style="1"/>
  </cols>
  <sheetData>
    <row r="1" spans="2:15">
      <c r="B1" s="1" t="s">
        <v>109</v>
      </c>
    </row>
    <row r="2" spans="2:15" ht="15.75">
      <c r="C2" s="97" t="s">
        <v>286</v>
      </c>
      <c r="D2" s="97" t="s">
        <v>285</v>
      </c>
      <c r="G2"/>
      <c r="K2" s="244" t="s">
        <v>135</v>
      </c>
      <c r="L2" s="244"/>
    </row>
    <row r="3" spans="2:15">
      <c r="B3" s="2" t="s">
        <v>106</v>
      </c>
      <c r="C3" s="249">
        <v>34083.969999999899</v>
      </c>
      <c r="D3" s="249">
        <f>35241.95+6654</f>
        <v>41895.949999999997</v>
      </c>
      <c r="K3" s="1" t="s">
        <v>136</v>
      </c>
      <c r="L3" s="120">
        <f>+D7</f>
        <v>35120.949999999997</v>
      </c>
    </row>
    <row r="4" spans="2:15">
      <c r="B4" s="2" t="s">
        <v>105</v>
      </c>
      <c r="C4" s="249">
        <f>+C5+C6</f>
        <v>5113</v>
      </c>
      <c r="D4" s="249">
        <f>+D5+D6</f>
        <v>6775</v>
      </c>
      <c r="K4" s="1" t="s">
        <v>92</v>
      </c>
      <c r="L4" s="120">
        <f>-L3*5%</f>
        <v>-1756.0474999999999</v>
      </c>
    </row>
    <row r="5" spans="2:15">
      <c r="B5" s="98" t="s">
        <v>108</v>
      </c>
      <c r="C5" s="248">
        <f>ROUND(IF(C3&lt;38120,C3*15%,38120*15%),0)</f>
        <v>5113</v>
      </c>
      <c r="D5" s="248">
        <f>ROUND(IF(D3&lt;38120,D3*15%,38120*15%),0)</f>
        <v>5718</v>
      </c>
      <c r="K5" s="206" t="s">
        <v>137</v>
      </c>
      <c r="L5" s="207">
        <f>+L3+L4</f>
        <v>33364.902499999997</v>
      </c>
    </row>
    <row r="6" spans="2:15">
      <c r="B6" s="98" t="s">
        <v>143</v>
      </c>
      <c r="C6" s="248">
        <f>ROUND(IF(C3&lt;38120,0,(C3-38120)/3),0)</f>
        <v>0</v>
      </c>
      <c r="D6" s="248">
        <f>ROUND(IF(D3&lt;38120,0,(D3-38120)*28%),0)</f>
        <v>1057</v>
      </c>
      <c r="K6" s="1" t="s">
        <v>139</v>
      </c>
      <c r="L6" s="120">
        <f>-6%*50*800</f>
        <v>-2400</v>
      </c>
      <c r="M6" s="121" t="s">
        <v>140</v>
      </c>
    </row>
    <row r="7" spans="2:15">
      <c r="B7" s="2" t="s">
        <v>107</v>
      </c>
      <c r="C7" s="249">
        <f>+C3-C4</f>
        <v>28970.969999999899</v>
      </c>
      <c r="D7" s="249">
        <f>+D3-D4</f>
        <v>35120.949999999997</v>
      </c>
      <c r="K7" s="1" t="s">
        <v>138</v>
      </c>
      <c r="L7" s="120">
        <v>-10000</v>
      </c>
    </row>
    <row r="8" spans="2:15">
      <c r="K8" s="206" t="s">
        <v>141</v>
      </c>
      <c r="L8" s="207">
        <f>SUM(L5:L7)</f>
        <v>20964.902499999997</v>
      </c>
    </row>
    <row r="9" spans="2:15">
      <c r="K9" s="1" t="s">
        <v>142</v>
      </c>
      <c r="L9" s="120">
        <f>+M9*800</f>
        <v>20800</v>
      </c>
      <c r="M9" s="120">
        <f>ROUNDDOWN(L8/800,0)</f>
        <v>26</v>
      </c>
      <c r="N9" s="1" t="s">
        <v>269</v>
      </c>
    </row>
    <row r="10" spans="2:15">
      <c r="K10" s="206" t="s">
        <v>91</v>
      </c>
      <c r="L10" s="207">
        <f>+L8-L9</f>
        <v>164.90249999999651</v>
      </c>
    </row>
    <row r="11" spans="2:15">
      <c r="G11" s="99"/>
      <c r="H11" s="89"/>
      <c r="K11" s="120"/>
      <c r="L11" s="120"/>
    </row>
    <row r="12" spans="2:15">
      <c r="K12" s="205" t="s">
        <v>274</v>
      </c>
      <c r="L12" s="205"/>
      <c r="M12" s="214" t="s">
        <v>270</v>
      </c>
      <c r="N12" s="215" t="s">
        <v>0</v>
      </c>
      <c r="O12" s="215" t="s">
        <v>116</v>
      </c>
    </row>
    <row r="13" spans="2:15" ht="15.75" customHeight="1">
      <c r="K13" s="246" t="s">
        <v>271</v>
      </c>
      <c r="L13" s="246"/>
      <c r="M13" s="2">
        <v>800</v>
      </c>
      <c r="N13" s="209">
        <f>+O13/M13</f>
        <v>3</v>
      </c>
      <c r="O13" s="208">
        <f>-L6</f>
        <v>2400</v>
      </c>
    </row>
    <row r="14" spans="2:15" ht="15.75">
      <c r="B14" s="243" t="s">
        <v>287</v>
      </c>
      <c r="C14" s="243"/>
      <c r="D14" s="243"/>
      <c r="E14" s="243"/>
      <c r="F14" s="243"/>
      <c r="K14" s="246" t="s">
        <v>272</v>
      </c>
      <c r="L14" s="246"/>
      <c r="M14" s="210">
        <f>+M13</f>
        <v>800</v>
      </c>
      <c r="N14" s="209">
        <f t="shared" ref="N14:N15" si="0">+O14/M14</f>
        <v>26</v>
      </c>
      <c r="O14" s="208">
        <f>+L9</f>
        <v>20800</v>
      </c>
    </row>
    <row r="15" spans="2:15" s="51" customFormat="1" ht="30">
      <c r="D15" s="6" t="s">
        <v>114</v>
      </c>
      <c r="E15" s="6" t="s">
        <v>115</v>
      </c>
      <c r="F15" s="6" t="s">
        <v>144</v>
      </c>
      <c r="G15" s="6" t="s">
        <v>145</v>
      </c>
      <c r="H15" s="6" t="s">
        <v>146</v>
      </c>
      <c r="I15" s="6" t="s">
        <v>147</v>
      </c>
      <c r="J15" s="1"/>
      <c r="K15" s="245" t="s">
        <v>273</v>
      </c>
      <c r="L15" s="245"/>
      <c r="M15" s="211">
        <f>+M14</f>
        <v>800</v>
      </c>
      <c r="N15" s="212">
        <f t="shared" si="0"/>
        <v>29</v>
      </c>
      <c r="O15" s="213">
        <f>SUM(O13:O14)</f>
        <v>23200</v>
      </c>
    </row>
    <row r="16" spans="2:15">
      <c r="B16" s="122" t="s">
        <v>299</v>
      </c>
      <c r="C16" s="123" t="s">
        <v>298</v>
      </c>
      <c r="D16" s="124"/>
      <c r="E16" s="125"/>
      <c r="F16" s="2"/>
      <c r="G16" s="138">
        <f>+C4</f>
        <v>5113</v>
      </c>
      <c r="H16" s="2"/>
      <c r="I16" s="139">
        <f>G16-F16</f>
        <v>5113</v>
      </c>
    </row>
    <row r="17" spans="2:12">
      <c r="B17" s="126" t="s">
        <v>110</v>
      </c>
      <c r="C17" s="127" t="s">
        <v>290</v>
      </c>
      <c r="D17" s="128">
        <f>+C4</f>
        <v>5113</v>
      </c>
      <c r="E17" s="129">
        <v>0.25</v>
      </c>
      <c r="F17" s="130">
        <f>ROUND(+D17*E17,0)</f>
        <v>1278</v>
      </c>
      <c r="G17" s="2"/>
      <c r="H17" s="139">
        <f>IF((H16-I16+F17-G17)&gt;0,H16-I16+F17-G17,0)</f>
        <v>0</v>
      </c>
      <c r="I17" s="139">
        <f>IF((I16-H16+G17-F17)&gt;0,I16-H16+G17-F17,0)</f>
        <v>3835</v>
      </c>
      <c r="L17" s="120"/>
    </row>
    <row r="18" spans="2:12">
      <c r="B18" s="122" t="s">
        <v>300</v>
      </c>
      <c r="C18" s="123" t="s">
        <v>288</v>
      </c>
      <c r="D18" s="124"/>
      <c r="E18" s="125"/>
      <c r="F18" s="138">
        <f>G16</f>
        <v>5113</v>
      </c>
      <c r="G18" s="2"/>
      <c r="H18" s="139">
        <f t="shared" ref="H18:H22" si="1">IF((H17-I17+F18-G18)&gt;0,H17-I17+F18-G18,0)</f>
        <v>1278</v>
      </c>
      <c r="I18" s="139">
        <f t="shared" ref="I18:I22" si="2">IF((I17-H17+G18-F18)&gt;0,I17-H17+G18-F18,0)</f>
        <v>0</v>
      </c>
      <c r="J18" s="1" t="s">
        <v>268</v>
      </c>
      <c r="L18" s="120"/>
    </row>
    <row r="19" spans="2:12">
      <c r="B19" s="131" t="s">
        <v>111</v>
      </c>
      <c r="C19" s="132" t="s">
        <v>291</v>
      </c>
      <c r="D19" s="133">
        <f>+D17</f>
        <v>5113</v>
      </c>
      <c r="E19" s="129">
        <v>0.25</v>
      </c>
      <c r="F19" s="130">
        <f t="shared" ref="F19:F21" si="3">ROUND(+D19*E19,0)</f>
        <v>1278</v>
      </c>
      <c r="G19" s="2"/>
      <c r="H19" s="139">
        <f t="shared" si="1"/>
        <v>2556</v>
      </c>
      <c r="I19" s="139">
        <f t="shared" si="2"/>
        <v>0</v>
      </c>
      <c r="L19" s="120"/>
    </row>
    <row r="20" spans="2:12">
      <c r="B20" s="126" t="s">
        <v>112</v>
      </c>
      <c r="C20" s="127" t="s">
        <v>297</v>
      </c>
      <c r="D20" s="128">
        <f>+D17</f>
        <v>5113</v>
      </c>
      <c r="E20" s="129">
        <v>0.25</v>
      </c>
      <c r="F20" s="130">
        <f t="shared" ref="F20" si="4">ROUND(+D20*E20,0)</f>
        <v>1278</v>
      </c>
      <c r="G20" s="2"/>
      <c r="H20" s="139">
        <f t="shared" si="1"/>
        <v>3834</v>
      </c>
      <c r="I20" s="139">
        <f t="shared" si="2"/>
        <v>0</v>
      </c>
      <c r="J20" s="13"/>
      <c r="L20" s="120"/>
    </row>
    <row r="21" spans="2:12">
      <c r="B21" s="126" t="s">
        <v>113</v>
      </c>
      <c r="C21" s="127" t="s">
        <v>296</v>
      </c>
      <c r="D21" s="128">
        <f>+D19</f>
        <v>5113</v>
      </c>
      <c r="E21" s="129">
        <v>0.25</v>
      </c>
      <c r="F21" s="130">
        <f t="shared" si="3"/>
        <v>1278</v>
      </c>
      <c r="G21" s="2"/>
      <c r="H21" s="139">
        <f t="shared" si="1"/>
        <v>5112</v>
      </c>
      <c r="I21" s="139">
        <f t="shared" si="2"/>
        <v>0</v>
      </c>
      <c r="J21" s="13"/>
      <c r="L21" s="120"/>
    </row>
    <row r="22" spans="2:12">
      <c r="B22" s="134" t="s">
        <v>299</v>
      </c>
      <c r="C22" s="135" t="s">
        <v>298</v>
      </c>
      <c r="D22" s="136"/>
      <c r="E22" s="137"/>
      <c r="F22" s="138"/>
      <c r="G22" s="138">
        <f>+D4</f>
        <v>6775</v>
      </c>
      <c r="H22" s="139">
        <f t="shared" si="1"/>
        <v>0</v>
      </c>
      <c r="I22" s="139">
        <f t="shared" si="2"/>
        <v>1663</v>
      </c>
      <c r="L22" s="120"/>
    </row>
    <row r="23" spans="2:12" ht="12.75" customHeight="1">
      <c r="L23" s="120"/>
    </row>
    <row r="25" spans="2:12" ht="15.75">
      <c r="B25" s="243" t="s">
        <v>289</v>
      </c>
      <c r="C25" s="243"/>
      <c r="D25" s="243"/>
      <c r="E25" s="243"/>
      <c r="F25" s="243"/>
    </row>
    <row r="26" spans="2:12">
      <c r="D26" s="111" t="s">
        <v>114</v>
      </c>
      <c r="E26" s="111" t="s">
        <v>115</v>
      </c>
      <c r="F26" s="111" t="s">
        <v>116</v>
      </c>
      <c r="I26" s="204"/>
    </row>
    <row r="27" spans="2:12">
      <c r="B27" s="100" t="s">
        <v>110</v>
      </c>
      <c r="C27" s="114" t="s">
        <v>292</v>
      </c>
      <c r="D27" s="101">
        <f>+D21</f>
        <v>5113</v>
      </c>
      <c r="E27" s="102">
        <v>0.25</v>
      </c>
      <c r="F27" s="112">
        <f>ROUND(+D27*E27,0)</f>
        <v>1278</v>
      </c>
    </row>
    <row r="28" spans="2:12">
      <c r="B28" s="103" t="s">
        <v>111</v>
      </c>
      <c r="C28" s="115" t="s">
        <v>293</v>
      </c>
      <c r="D28" s="104"/>
      <c r="E28" s="105"/>
      <c r="F28" s="113">
        <f>+F30+F29</f>
        <v>2110</v>
      </c>
    </row>
    <row r="29" spans="2:12">
      <c r="B29" s="98" t="s">
        <v>117</v>
      </c>
      <c r="C29" s="118"/>
      <c r="D29" s="106">
        <f>+D4</f>
        <v>6775</v>
      </c>
      <c r="E29" s="107">
        <v>0.25</v>
      </c>
      <c r="F29" s="116">
        <f>ROUND(+D29*E29,0)</f>
        <v>1694</v>
      </c>
    </row>
    <row r="30" spans="2:12">
      <c r="B30" s="108" t="s">
        <v>118</v>
      </c>
      <c r="C30" s="119"/>
      <c r="D30" s="109"/>
      <c r="E30" s="110"/>
      <c r="F30" s="117">
        <f>+F29-F27</f>
        <v>416</v>
      </c>
      <c r="G30" s="1" t="s">
        <v>275</v>
      </c>
    </row>
    <row r="31" spans="2:12">
      <c r="B31" s="100" t="s">
        <v>112</v>
      </c>
      <c r="C31" s="114" t="s">
        <v>294</v>
      </c>
      <c r="D31" s="101">
        <f>+D29</f>
        <v>6775</v>
      </c>
      <c r="E31" s="102">
        <f>+E29</f>
        <v>0.25</v>
      </c>
      <c r="F31" s="112">
        <f>ROUND(+D31*E31,0)</f>
        <v>1694</v>
      </c>
    </row>
    <row r="32" spans="2:12">
      <c r="B32" s="100" t="s">
        <v>113</v>
      </c>
      <c r="C32" s="114" t="s">
        <v>295</v>
      </c>
      <c r="D32" s="101">
        <f>+D31</f>
        <v>6775</v>
      </c>
      <c r="E32" s="102">
        <f>+E31</f>
        <v>0.25</v>
      </c>
      <c r="F32" s="112">
        <f>ROUND(+D32*E32,0)</f>
        <v>1694</v>
      </c>
    </row>
  </sheetData>
  <mergeCells count="6">
    <mergeCell ref="B25:F25"/>
    <mergeCell ref="B14:F14"/>
    <mergeCell ref="K2:L2"/>
    <mergeCell ref="K15:L15"/>
    <mergeCell ref="K14:L14"/>
    <mergeCell ref="K13:L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topLeftCell="A16" workbookViewId="0">
      <selection activeCell="J20" sqref="J20"/>
    </sheetView>
  </sheetViews>
  <sheetFormatPr baseColWidth="10" defaultRowHeight="15.75"/>
  <cols>
    <col min="1" max="1" width="8.25" style="201" customWidth="1"/>
    <col min="2" max="2" width="10.875" style="201" customWidth="1"/>
    <col min="3" max="3" width="7" style="201" customWidth="1"/>
    <col min="4" max="4" width="36.5" style="140" customWidth="1"/>
    <col min="5" max="5" width="12.875" style="202" customWidth="1"/>
    <col min="6" max="6" width="15.25" style="202" customWidth="1"/>
    <col min="7" max="16384" width="11" style="140"/>
  </cols>
  <sheetData>
    <row r="1" spans="1:7">
      <c r="A1" s="203" t="s">
        <v>164</v>
      </c>
    </row>
    <row r="2" spans="1:7">
      <c r="A2" s="161" t="s">
        <v>162</v>
      </c>
      <c r="B2" s="162"/>
      <c r="C2" s="162"/>
      <c r="D2" s="247" t="s">
        <v>163</v>
      </c>
      <c r="E2" s="247"/>
      <c r="F2" s="247"/>
    </row>
    <row r="3" spans="1:7">
      <c r="A3" s="140"/>
      <c r="B3" s="163" t="s">
        <v>165</v>
      </c>
      <c r="C3" s="164"/>
      <c r="D3" s="165" t="s">
        <v>166</v>
      </c>
      <c r="E3" s="166"/>
      <c r="F3" s="166"/>
    </row>
    <row r="4" spans="1:7">
      <c r="A4" s="167" t="s">
        <v>167</v>
      </c>
      <c r="B4" s="167" t="s">
        <v>168</v>
      </c>
      <c r="C4" s="167" t="s">
        <v>169</v>
      </c>
      <c r="D4" s="168" t="s">
        <v>170</v>
      </c>
      <c r="E4" s="169" t="s">
        <v>171</v>
      </c>
      <c r="F4" s="169" t="s">
        <v>172</v>
      </c>
    </row>
    <row r="5" spans="1:7">
      <c r="A5" s="170" t="s">
        <v>301</v>
      </c>
      <c r="B5" s="171" t="s">
        <v>173</v>
      </c>
      <c r="C5" s="171" t="s">
        <v>174</v>
      </c>
      <c r="D5" s="172" t="s">
        <v>176</v>
      </c>
      <c r="E5" s="173">
        <v>60.37</v>
      </c>
      <c r="F5" s="173"/>
      <c r="G5" s="174"/>
    </row>
    <row r="6" spans="1:7">
      <c r="A6" s="175"/>
      <c r="B6" s="176" t="s">
        <v>175</v>
      </c>
      <c r="C6" s="176" t="s">
        <v>174</v>
      </c>
      <c r="D6" s="177" t="s">
        <v>176</v>
      </c>
      <c r="E6" s="178"/>
      <c r="F6" s="178">
        <v>60.37</v>
      </c>
      <c r="G6" s="174"/>
    </row>
    <row r="7" spans="1:7">
      <c r="A7" s="170" t="s">
        <v>301</v>
      </c>
      <c r="B7" s="171" t="s">
        <v>177</v>
      </c>
      <c r="C7" s="171" t="s">
        <v>178</v>
      </c>
      <c r="D7" s="172" t="s">
        <v>179</v>
      </c>
      <c r="E7" s="173">
        <f>SUM(F8:F12)</f>
        <v>14681.314722222221</v>
      </c>
      <c r="F7" s="173"/>
      <c r="G7" s="174"/>
    </row>
    <row r="8" spans="1:7">
      <c r="A8" s="179"/>
      <c r="B8" s="180" t="s">
        <v>74</v>
      </c>
      <c r="C8" s="180" t="s">
        <v>178</v>
      </c>
      <c r="D8" s="181" t="s">
        <v>179</v>
      </c>
      <c r="E8" s="182"/>
      <c r="F8" s="182">
        <f>4071.22-F21</f>
        <v>3970.004722222222</v>
      </c>
      <c r="G8" s="174"/>
    </row>
    <row r="9" spans="1:7">
      <c r="A9" s="179"/>
      <c r="B9" s="180" t="s">
        <v>75</v>
      </c>
      <c r="C9" s="180" t="s">
        <v>178</v>
      </c>
      <c r="D9" s="181" t="s">
        <v>179</v>
      </c>
      <c r="E9" s="182"/>
      <c r="F9" s="182">
        <v>4549</v>
      </c>
      <c r="G9" s="174"/>
    </row>
    <row r="10" spans="1:7">
      <c r="A10" s="179"/>
      <c r="B10" s="180" t="s">
        <v>76</v>
      </c>
      <c r="C10" s="180" t="s">
        <v>178</v>
      </c>
      <c r="D10" s="181" t="s">
        <v>179</v>
      </c>
      <c r="E10" s="182"/>
      <c r="F10" s="182">
        <v>4289.3100000000004</v>
      </c>
      <c r="G10" s="174"/>
    </row>
    <row r="11" spans="1:7">
      <c r="A11" s="179"/>
      <c r="B11" s="180" t="s">
        <v>77</v>
      </c>
      <c r="C11" s="180" t="s">
        <v>178</v>
      </c>
      <c r="D11" s="181" t="s">
        <v>179</v>
      </c>
      <c r="E11" s="182"/>
      <c r="F11" s="182">
        <v>913</v>
      </c>
      <c r="G11" s="174"/>
    </row>
    <row r="12" spans="1:7">
      <c r="A12" s="175"/>
      <c r="B12" s="176" t="s">
        <v>77</v>
      </c>
      <c r="C12" s="176" t="s">
        <v>178</v>
      </c>
      <c r="D12" s="177" t="s">
        <v>179</v>
      </c>
      <c r="E12" s="178"/>
      <c r="F12" s="178">
        <v>960</v>
      </c>
      <c r="G12" s="174"/>
    </row>
    <row r="13" spans="1:7">
      <c r="A13" s="170" t="s">
        <v>301</v>
      </c>
      <c r="B13" s="171" t="s">
        <v>126</v>
      </c>
      <c r="C13" s="171" t="s">
        <v>180</v>
      </c>
      <c r="D13" s="172" t="s">
        <v>181</v>
      </c>
      <c r="E13" s="173">
        <v>150</v>
      </c>
      <c r="F13" s="173"/>
      <c r="G13" s="174"/>
    </row>
    <row r="14" spans="1:7">
      <c r="A14" s="179"/>
      <c r="B14" s="180" t="s">
        <v>182</v>
      </c>
      <c r="C14" s="180" t="s">
        <v>180</v>
      </c>
      <c r="D14" s="181" t="s">
        <v>183</v>
      </c>
      <c r="E14" s="182">
        <f>2900-150</f>
        <v>2750</v>
      </c>
      <c r="F14" s="182"/>
      <c r="G14" s="174"/>
    </row>
    <row r="15" spans="1:7">
      <c r="A15" s="175"/>
      <c r="B15" s="176" t="s">
        <v>79</v>
      </c>
      <c r="C15" s="176" t="s">
        <v>180</v>
      </c>
      <c r="D15" s="177" t="s">
        <v>184</v>
      </c>
      <c r="E15" s="178"/>
      <c r="F15" s="178">
        <v>2900</v>
      </c>
      <c r="G15" s="174"/>
    </row>
    <row r="16" spans="1:7">
      <c r="A16" s="170" t="s">
        <v>301</v>
      </c>
      <c r="B16" s="171" t="s">
        <v>100</v>
      </c>
      <c r="C16" s="171" t="s">
        <v>185</v>
      </c>
      <c r="D16" s="172" t="s">
        <v>186</v>
      </c>
      <c r="E16" s="173">
        <v>30</v>
      </c>
      <c r="F16" s="173"/>
      <c r="G16" s="174"/>
    </row>
    <row r="17" spans="1:8">
      <c r="A17" s="175"/>
      <c r="B17" s="176" t="s">
        <v>78</v>
      </c>
      <c r="C17" s="176" t="s">
        <v>185</v>
      </c>
      <c r="D17" s="177" t="s">
        <v>186</v>
      </c>
      <c r="E17" s="178"/>
      <c r="F17" s="178">
        <v>30</v>
      </c>
      <c r="G17" s="174"/>
    </row>
    <row r="18" spans="1:8">
      <c r="A18" s="170" t="s">
        <v>301</v>
      </c>
      <c r="B18" s="171" t="s">
        <v>123</v>
      </c>
      <c r="C18" s="171" t="s">
        <v>187</v>
      </c>
      <c r="D18" s="172" t="s">
        <v>188</v>
      </c>
      <c r="E18" s="173">
        <f>150*0.833333333333333</f>
        <v>124.99999999999996</v>
      </c>
      <c r="F18" s="173"/>
      <c r="G18" s="174"/>
    </row>
    <row r="19" spans="1:8">
      <c r="A19" s="175"/>
      <c r="B19" s="176" t="s">
        <v>126</v>
      </c>
      <c r="C19" s="176" t="s">
        <v>187</v>
      </c>
      <c r="D19" s="177" t="s">
        <v>188</v>
      </c>
      <c r="E19" s="178"/>
      <c r="F19" s="178">
        <v>125</v>
      </c>
      <c r="G19" s="174"/>
    </row>
    <row r="20" spans="1:8">
      <c r="A20" s="170" t="s">
        <v>301</v>
      </c>
      <c r="B20" s="180" t="s">
        <v>177</v>
      </c>
      <c r="C20" s="183" t="s">
        <v>189</v>
      </c>
      <c r="D20" s="181" t="s">
        <v>190</v>
      </c>
      <c r="E20" s="173">
        <f>2750*0.25*0.147222222222222</f>
        <v>101.21527777777763</v>
      </c>
      <c r="F20" s="182"/>
      <c r="G20" s="174"/>
    </row>
    <row r="21" spans="1:8">
      <c r="A21" s="175"/>
      <c r="B21" s="180" t="s">
        <v>95</v>
      </c>
      <c r="C21" s="184" t="s">
        <v>189</v>
      </c>
      <c r="D21" s="181" t="s">
        <v>191</v>
      </c>
      <c r="E21" s="185"/>
      <c r="F21" s="182">
        <f>+E20</f>
        <v>101.21527777777763</v>
      </c>
      <c r="G21" s="174"/>
    </row>
    <row r="22" spans="1:8">
      <c r="A22" s="170" t="s">
        <v>301</v>
      </c>
      <c r="B22" s="171" t="s">
        <v>192</v>
      </c>
      <c r="C22" s="180" t="s">
        <v>193</v>
      </c>
      <c r="D22" s="172" t="s">
        <v>194</v>
      </c>
      <c r="E22" s="186">
        <f>2750*31.25%*0.166666666666667-E20</f>
        <v>42.013888888889312</v>
      </c>
      <c r="F22" s="173"/>
      <c r="G22" s="174"/>
    </row>
    <row r="23" spans="1:8">
      <c r="A23" s="175"/>
      <c r="B23" s="176" t="s">
        <v>119</v>
      </c>
      <c r="C23" s="176" t="s">
        <v>193</v>
      </c>
      <c r="D23" s="177"/>
      <c r="E23" s="187"/>
      <c r="F23" s="178">
        <f>+E22</f>
        <v>42.013888888889312</v>
      </c>
      <c r="G23" s="174"/>
    </row>
    <row r="24" spans="1:8">
      <c r="A24" s="170" t="s">
        <v>301</v>
      </c>
      <c r="B24" s="180" t="s">
        <v>94</v>
      </c>
      <c r="C24" s="180" t="s">
        <v>195</v>
      </c>
      <c r="D24" s="181" t="s">
        <v>196</v>
      </c>
      <c r="E24" s="182">
        <v>19000</v>
      </c>
      <c r="F24" s="182"/>
      <c r="G24" s="174"/>
      <c r="H24" s="188"/>
    </row>
    <row r="25" spans="1:8">
      <c r="A25" s="175"/>
      <c r="B25" s="176" t="s">
        <v>102</v>
      </c>
      <c r="C25" s="176" t="s">
        <v>195</v>
      </c>
      <c r="D25" s="177" t="s">
        <v>196</v>
      </c>
      <c r="E25" s="178"/>
      <c r="F25" s="178">
        <v>19000</v>
      </c>
      <c r="G25" s="174"/>
    </row>
    <row r="26" spans="1:8">
      <c r="A26" s="170" t="s">
        <v>301</v>
      </c>
      <c r="B26" s="180" t="s">
        <v>177</v>
      </c>
      <c r="C26" s="180" t="s">
        <v>197</v>
      </c>
      <c r="D26" s="181" t="s">
        <v>198</v>
      </c>
      <c r="E26" s="182">
        <f>56*0.25*52.7777777777778</f>
        <v>738.88888888888914</v>
      </c>
      <c r="F26" s="182"/>
      <c r="G26" s="174"/>
    </row>
    <row r="27" spans="1:8">
      <c r="A27" s="175"/>
      <c r="B27" s="176" t="s">
        <v>96</v>
      </c>
      <c r="C27" s="176" t="s">
        <v>197</v>
      </c>
      <c r="D27" s="177" t="s">
        <v>196</v>
      </c>
      <c r="E27" s="178"/>
      <c r="F27" s="178">
        <f>+E26</f>
        <v>738.88888888888914</v>
      </c>
      <c r="G27" s="174"/>
    </row>
    <row r="28" spans="1:8">
      <c r="A28" s="170" t="s">
        <v>301</v>
      </c>
      <c r="B28" s="171" t="s">
        <v>102</v>
      </c>
      <c r="C28" s="171" t="s">
        <v>199</v>
      </c>
      <c r="D28" s="172" t="s">
        <v>200</v>
      </c>
      <c r="E28" s="173">
        <v>12600</v>
      </c>
      <c r="F28" s="173"/>
      <c r="G28" s="174"/>
    </row>
    <row r="29" spans="1:8">
      <c r="A29" s="179"/>
      <c r="B29" s="180" t="s">
        <v>133</v>
      </c>
      <c r="C29" s="180" t="s">
        <v>199</v>
      </c>
      <c r="D29" s="181" t="s">
        <v>200</v>
      </c>
      <c r="E29" s="182"/>
      <c r="F29" s="182">
        <v>10500</v>
      </c>
      <c r="G29" s="174"/>
    </row>
    <row r="30" spans="1:8">
      <c r="A30" s="175"/>
      <c r="B30" s="176" t="s">
        <v>101</v>
      </c>
      <c r="C30" s="176" t="s">
        <v>199</v>
      </c>
      <c r="D30" s="177" t="s">
        <v>200</v>
      </c>
      <c r="E30" s="178"/>
      <c r="F30" s="178">
        <v>2100</v>
      </c>
      <c r="G30" s="174"/>
    </row>
    <row r="31" spans="1:8">
      <c r="A31" s="170" t="s">
        <v>301</v>
      </c>
      <c r="B31" s="171" t="s">
        <v>94</v>
      </c>
      <c r="C31" s="171" t="s">
        <v>201</v>
      </c>
      <c r="D31" s="172" t="s">
        <v>202</v>
      </c>
      <c r="E31" s="173"/>
      <c r="F31" s="173">
        <v>17800</v>
      </c>
      <c r="G31" s="174"/>
    </row>
    <row r="32" spans="1:8">
      <c r="A32" s="179"/>
      <c r="B32" s="180" t="s">
        <v>96</v>
      </c>
      <c r="C32" s="180" t="s">
        <v>201</v>
      </c>
      <c r="D32" s="181" t="s">
        <v>202</v>
      </c>
      <c r="E32" s="182">
        <v>8739.31</v>
      </c>
      <c r="F32" s="182"/>
      <c r="G32" s="174"/>
    </row>
    <row r="33" spans="1:7">
      <c r="A33" s="175"/>
      <c r="B33" s="176" t="s">
        <v>129</v>
      </c>
      <c r="C33" s="176" t="s">
        <v>201</v>
      </c>
      <c r="D33" s="177" t="s">
        <v>202</v>
      </c>
      <c r="E33" s="178">
        <v>9060.69</v>
      </c>
      <c r="F33" s="178"/>
      <c r="G33" s="174"/>
    </row>
    <row r="34" spans="1:7">
      <c r="A34" s="170" t="s">
        <v>301</v>
      </c>
      <c r="B34" s="171" t="s">
        <v>93</v>
      </c>
      <c r="C34" s="171" t="s">
        <v>203</v>
      </c>
      <c r="D34" s="172" t="s">
        <v>204</v>
      </c>
      <c r="E34" s="173">
        <v>4258.04</v>
      </c>
      <c r="F34" s="173"/>
      <c r="G34" s="174"/>
    </row>
    <row r="35" spans="1:7">
      <c r="A35" s="179"/>
      <c r="B35" s="180" t="s">
        <v>78</v>
      </c>
      <c r="C35" s="180" t="s">
        <v>203</v>
      </c>
      <c r="D35" s="181" t="s">
        <v>204</v>
      </c>
      <c r="E35" s="182">
        <v>851.61</v>
      </c>
      <c r="F35" s="182"/>
      <c r="G35" s="174"/>
    </row>
    <row r="36" spans="1:7">
      <c r="A36" s="179"/>
      <c r="B36" s="180" t="s">
        <v>132</v>
      </c>
      <c r="C36" s="180" t="s">
        <v>203</v>
      </c>
      <c r="D36" s="181" t="s">
        <v>204</v>
      </c>
      <c r="E36" s="182"/>
      <c r="F36" s="182">
        <v>4258.04</v>
      </c>
      <c r="G36" s="174"/>
    </row>
    <row r="37" spans="1:7">
      <c r="A37" s="175"/>
      <c r="B37" s="176" t="s">
        <v>205</v>
      </c>
      <c r="C37" s="176" t="s">
        <v>203</v>
      </c>
      <c r="D37" s="177" t="s">
        <v>204</v>
      </c>
      <c r="E37" s="178"/>
      <c r="F37" s="178">
        <v>851.61</v>
      </c>
      <c r="G37" s="174"/>
    </row>
    <row r="38" spans="1:7">
      <c r="A38" s="170" t="s">
        <v>301</v>
      </c>
      <c r="B38" s="171" t="s">
        <v>81</v>
      </c>
      <c r="C38" s="171" t="s">
        <v>206</v>
      </c>
      <c r="D38" s="172" t="s">
        <v>207</v>
      </c>
      <c r="E38" s="173">
        <v>1240</v>
      </c>
      <c r="F38" s="173"/>
      <c r="G38" s="174"/>
    </row>
    <row r="39" spans="1:7">
      <c r="A39" s="179"/>
      <c r="B39" s="180" t="s">
        <v>75</v>
      </c>
      <c r="C39" s="180" t="s">
        <v>206</v>
      </c>
      <c r="D39" s="181" t="s">
        <v>207</v>
      </c>
      <c r="E39" s="182"/>
      <c r="F39" s="182">
        <v>1240</v>
      </c>
      <c r="G39" s="174"/>
    </row>
    <row r="40" spans="1:7">
      <c r="A40" s="170" t="s">
        <v>301</v>
      </c>
      <c r="B40" s="171" t="s">
        <v>75</v>
      </c>
      <c r="C40" s="171" t="s">
        <v>72</v>
      </c>
      <c r="D40" s="172" t="s">
        <v>208</v>
      </c>
      <c r="E40" s="173">
        <v>3720</v>
      </c>
      <c r="F40" s="173"/>
      <c r="G40" s="174"/>
    </row>
    <row r="41" spans="1:7">
      <c r="A41" s="175"/>
      <c r="B41" s="176" t="s">
        <v>73</v>
      </c>
      <c r="C41" s="176" t="s">
        <v>72</v>
      </c>
      <c r="D41" s="177" t="s">
        <v>208</v>
      </c>
      <c r="E41" s="178"/>
      <c r="F41" s="178">
        <v>3720</v>
      </c>
      <c r="G41" s="174"/>
    </row>
    <row r="42" spans="1:7">
      <c r="A42" s="167"/>
      <c r="B42" s="167" t="s">
        <v>168</v>
      </c>
      <c r="C42" s="167" t="s">
        <v>169</v>
      </c>
      <c r="D42" s="168" t="s">
        <v>170</v>
      </c>
      <c r="E42" s="169" t="s">
        <v>171</v>
      </c>
      <c r="F42" s="169" t="s">
        <v>172</v>
      </c>
      <c r="G42" s="174"/>
    </row>
    <row r="43" spans="1:7">
      <c r="A43" s="170" t="s">
        <v>301</v>
      </c>
      <c r="B43" s="171" t="s">
        <v>88</v>
      </c>
      <c r="C43" s="171" t="s">
        <v>209</v>
      </c>
      <c r="D43" s="172" t="s">
        <v>210</v>
      </c>
      <c r="E43" s="173">
        <v>26783.59</v>
      </c>
      <c r="F43" s="173"/>
      <c r="G43" s="174"/>
    </row>
    <row r="44" spans="1:7">
      <c r="A44" s="175"/>
      <c r="B44" s="176" t="s">
        <v>97</v>
      </c>
      <c r="C44" s="180" t="s">
        <v>209</v>
      </c>
      <c r="D44" s="177" t="s">
        <v>210</v>
      </c>
      <c r="E44" s="178"/>
      <c r="F44" s="178">
        <v>26783.59</v>
      </c>
      <c r="G44" s="174"/>
    </row>
    <row r="45" spans="1:7">
      <c r="A45" s="170" t="s">
        <v>301</v>
      </c>
      <c r="B45" s="171" t="s">
        <v>134</v>
      </c>
      <c r="C45" s="171" t="s">
        <v>211</v>
      </c>
      <c r="D45" s="172" t="s">
        <v>212</v>
      </c>
      <c r="E45" s="173"/>
      <c r="F45" s="173">
        <v>424.5</v>
      </c>
      <c r="G45" s="174"/>
    </row>
    <row r="46" spans="1:7">
      <c r="A46" s="175"/>
      <c r="B46" s="176" t="s">
        <v>98</v>
      </c>
      <c r="C46" s="176" t="s">
        <v>211</v>
      </c>
      <c r="D46" s="177" t="s">
        <v>212</v>
      </c>
      <c r="E46" s="178">
        <v>424.5</v>
      </c>
      <c r="F46" s="178"/>
      <c r="G46" s="174"/>
    </row>
    <row r="47" spans="1:7">
      <c r="A47" s="170" t="s">
        <v>301</v>
      </c>
      <c r="B47" s="171" t="s">
        <v>97</v>
      </c>
      <c r="C47" s="171" t="s">
        <v>213</v>
      </c>
      <c r="D47" s="172" t="s">
        <v>214</v>
      </c>
      <c r="E47" s="173">
        <v>38478.160000000003</v>
      </c>
      <c r="F47" s="173"/>
      <c r="G47" s="174"/>
    </row>
    <row r="48" spans="1:7">
      <c r="A48" s="179"/>
      <c r="B48" s="180" t="s">
        <v>88</v>
      </c>
      <c r="C48" s="176" t="s">
        <v>213</v>
      </c>
      <c r="D48" s="181" t="s">
        <v>215</v>
      </c>
      <c r="E48" s="182"/>
      <c r="F48" s="182">
        <v>38478.160000000003</v>
      </c>
      <c r="G48" s="174"/>
    </row>
    <row r="49" spans="1:7">
      <c r="A49" s="170" t="s">
        <v>301</v>
      </c>
      <c r="B49" s="171" t="s">
        <v>89</v>
      </c>
      <c r="C49" s="171" t="s">
        <v>216</v>
      </c>
      <c r="D49" s="172" t="s">
        <v>217</v>
      </c>
      <c r="E49" s="173">
        <v>1247</v>
      </c>
      <c r="F49" s="173"/>
      <c r="G49" s="174"/>
    </row>
    <row r="50" spans="1:7">
      <c r="A50" s="175"/>
      <c r="B50" s="176" t="s">
        <v>98</v>
      </c>
      <c r="C50" s="176" t="s">
        <v>216</v>
      </c>
      <c r="D50" s="177" t="s">
        <v>217</v>
      </c>
      <c r="E50" s="178"/>
      <c r="F50" s="178">
        <v>1247</v>
      </c>
      <c r="G50" s="174"/>
    </row>
    <row r="51" spans="1:7">
      <c r="A51" s="170" t="s">
        <v>301</v>
      </c>
      <c r="B51" s="171" t="s">
        <v>218</v>
      </c>
      <c r="C51" s="171" t="s">
        <v>219</v>
      </c>
      <c r="D51" s="172" t="s">
        <v>220</v>
      </c>
      <c r="E51" s="173">
        <v>493.13</v>
      </c>
      <c r="F51" s="173"/>
      <c r="G51" s="174"/>
    </row>
    <row r="52" spans="1:7">
      <c r="A52" s="175"/>
      <c r="B52" s="176" t="s">
        <v>90</v>
      </c>
      <c r="C52" s="176" t="s">
        <v>219</v>
      </c>
      <c r="D52" s="177" t="s">
        <v>220</v>
      </c>
      <c r="E52" s="178"/>
      <c r="F52" s="178">
        <v>493.13</v>
      </c>
      <c r="G52" s="174"/>
    </row>
    <row r="53" spans="1:7">
      <c r="A53" s="170" t="s">
        <v>301</v>
      </c>
      <c r="B53" s="171" t="s">
        <v>218</v>
      </c>
      <c r="C53" s="171" t="s">
        <v>221</v>
      </c>
      <c r="D53" s="172" t="s">
        <v>222</v>
      </c>
      <c r="E53" s="173">
        <v>334.32</v>
      </c>
      <c r="F53" s="173"/>
      <c r="G53" s="174"/>
    </row>
    <row r="54" spans="1:7">
      <c r="A54" s="175"/>
      <c r="B54" s="176" t="s">
        <v>223</v>
      </c>
      <c r="C54" s="176" t="s">
        <v>221</v>
      </c>
      <c r="D54" s="177" t="s">
        <v>222</v>
      </c>
      <c r="E54" s="178"/>
      <c r="F54" s="178">
        <v>334.32</v>
      </c>
      <c r="G54" s="174"/>
    </row>
    <row r="55" spans="1:7">
      <c r="A55" s="170" t="s">
        <v>301</v>
      </c>
      <c r="B55" s="171" t="s">
        <v>121</v>
      </c>
      <c r="C55" s="171" t="s">
        <v>224</v>
      </c>
      <c r="D55" s="172" t="s">
        <v>225</v>
      </c>
      <c r="E55" s="173">
        <v>3566.79</v>
      </c>
      <c r="F55" s="173"/>
      <c r="G55" s="174"/>
    </row>
    <row r="56" spans="1:7">
      <c r="A56" s="179"/>
      <c r="B56" s="180" t="s">
        <v>226</v>
      </c>
      <c r="C56" s="180" t="s">
        <v>224</v>
      </c>
      <c r="D56" s="181" t="s">
        <v>225</v>
      </c>
      <c r="E56" s="182"/>
      <c r="F56" s="182">
        <v>594.46</v>
      </c>
      <c r="G56" s="174"/>
    </row>
    <row r="57" spans="1:7">
      <c r="A57" s="179"/>
      <c r="B57" s="180" t="s">
        <v>125</v>
      </c>
      <c r="C57" s="180" t="s">
        <v>224</v>
      </c>
      <c r="D57" s="181" t="s">
        <v>225</v>
      </c>
      <c r="E57" s="182"/>
      <c r="F57" s="182">
        <v>2972.33</v>
      </c>
      <c r="G57" s="174"/>
    </row>
    <row r="58" spans="1:7">
      <c r="A58" s="170" t="s">
        <v>301</v>
      </c>
      <c r="B58" s="171" t="s">
        <v>227</v>
      </c>
      <c r="C58" s="171" t="s">
        <v>228</v>
      </c>
      <c r="D58" s="172" t="s">
        <v>229</v>
      </c>
      <c r="E58" s="173"/>
      <c r="F58" s="173">
        <v>24.5</v>
      </c>
      <c r="G58" s="174"/>
    </row>
    <row r="59" spans="1:7">
      <c r="A59" s="175"/>
      <c r="B59" s="176" t="s">
        <v>230</v>
      </c>
      <c r="C59" s="176" t="s">
        <v>228</v>
      </c>
      <c r="D59" s="177" t="s">
        <v>229</v>
      </c>
      <c r="E59" s="178">
        <v>24.5</v>
      </c>
      <c r="F59" s="178"/>
      <c r="G59" s="174"/>
    </row>
    <row r="60" spans="1:7">
      <c r="A60" s="170" t="s">
        <v>301</v>
      </c>
      <c r="B60" s="171" t="s">
        <v>130</v>
      </c>
      <c r="C60" s="171" t="s">
        <v>231</v>
      </c>
      <c r="D60" s="172" t="s">
        <v>232</v>
      </c>
      <c r="E60" s="173">
        <v>24.5</v>
      </c>
      <c r="F60" s="173"/>
      <c r="G60" s="174"/>
    </row>
    <row r="61" spans="1:7">
      <c r="A61" s="175"/>
      <c r="B61" s="176" t="s">
        <v>120</v>
      </c>
      <c r="C61" s="176" t="s">
        <v>231</v>
      </c>
      <c r="D61" s="177" t="s">
        <v>232</v>
      </c>
      <c r="E61" s="178"/>
      <c r="F61" s="178">
        <v>24.5</v>
      </c>
      <c r="G61" s="174"/>
    </row>
    <row r="62" spans="1:7">
      <c r="A62" s="170" t="s">
        <v>301</v>
      </c>
      <c r="B62" s="171" t="s">
        <v>127</v>
      </c>
      <c r="C62" s="171" t="s">
        <v>233</v>
      </c>
      <c r="D62" s="172" t="s">
        <v>234</v>
      </c>
      <c r="E62" s="173">
        <v>3300</v>
      </c>
      <c r="F62" s="173"/>
      <c r="G62" s="174"/>
    </row>
    <row r="63" spans="1:7">
      <c r="A63" s="175"/>
      <c r="B63" s="176" t="s">
        <v>235</v>
      </c>
      <c r="C63" s="176" t="s">
        <v>233</v>
      </c>
      <c r="D63" s="177" t="s">
        <v>234</v>
      </c>
      <c r="E63" s="178"/>
      <c r="F63" s="178">
        <v>3300</v>
      </c>
      <c r="G63" s="174"/>
    </row>
    <row r="64" spans="1:7">
      <c r="A64" s="170" t="s">
        <v>301</v>
      </c>
      <c r="B64" s="171" t="s">
        <v>236</v>
      </c>
      <c r="C64" s="171" t="s">
        <v>237</v>
      </c>
      <c r="D64" s="172" t="s">
        <v>238</v>
      </c>
      <c r="E64" s="173">
        <f>+E62*41%</f>
        <v>1353</v>
      </c>
      <c r="F64" s="173"/>
      <c r="G64" s="174"/>
    </row>
    <row r="65" spans="1:7">
      <c r="A65" s="175"/>
      <c r="B65" s="176" t="s">
        <v>239</v>
      </c>
      <c r="C65" s="176" t="s">
        <v>237</v>
      </c>
      <c r="D65" s="177" t="s">
        <v>240</v>
      </c>
      <c r="E65" s="178"/>
      <c r="F65" s="178">
        <f>+E64</f>
        <v>1353</v>
      </c>
      <c r="G65" s="174"/>
    </row>
    <row r="66" spans="1:7">
      <c r="A66" s="170" t="s">
        <v>301</v>
      </c>
      <c r="B66" s="171" t="s">
        <v>241</v>
      </c>
      <c r="C66" s="171" t="s">
        <v>242</v>
      </c>
      <c r="D66" s="172" t="s">
        <v>243</v>
      </c>
      <c r="E66" s="173">
        <v>261.52999999999997</v>
      </c>
      <c r="F66" s="173"/>
      <c r="G66" s="174"/>
    </row>
    <row r="67" spans="1:7">
      <c r="A67" s="175"/>
      <c r="B67" s="176" t="s">
        <v>124</v>
      </c>
      <c r="C67" s="176" t="s">
        <v>242</v>
      </c>
      <c r="D67" s="177" t="s">
        <v>243</v>
      </c>
      <c r="E67" s="178"/>
      <c r="F67" s="178">
        <v>261.52999999999997</v>
      </c>
      <c r="G67" s="174"/>
    </row>
    <row r="68" spans="1:7">
      <c r="A68" s="170" t="s">
        <v>301</v>
      </c>
      <c r="B68" s="171" t="s">
        <v>128</v>
      </c>
      <c r="C68" s="171" t="s">
        <v>244</v>
      </c>
      <c r="D68" s="172" t="s">
        <v>245</v>
      </c>
      <c r="E68" s="173">
        <v>580</v>
      </c>
      <c r="F68" s="173"/>
      <c r="G68" s="174"/>
    </row>
    <row r="69" spans="1:7">
      <c r="A69" s="179"/>
      <c r="B69" s="180" t="s">
        <v>101</v>
      </c>
      <c r="C69" s="180" t="s">
        <v>244</v>
      </c>
      <c r="D69" s="181" t="s">
        <v>245</v>
      </c>
      <c r="E69" s="182">
        <v>116</v>
      </c>
      <c r="F69" s="182"/>
      <c r="G69" s="174"/>
    </row>
    <row r="70" spans="1:7">
      <c r="A70" s="179"/>
      <c r="B70" s="180" t="s">
        <v>99</v>
      </c>
      <c r="C70" s="180" t="s">
        <v>244</v>
      </c>
      <c r="D70" s="181" t="s">
        <v>245</v>
      </c>
      <c r="E70" s="182"/>
      <c r="F70" s="182">
        <v>696</v>
      </c>
      <c r="G70" s="174"/>
    </row>
    <row r="71" spans="1:7">
      <c r="A71" s="170" t="s">
        <v>301</v>
      </c>
      <c r="B71" s="171" t="s">
        <v>246</v>
      </c>
      <c r="C71" s="171" t="s">
        <v>247</v>
      </c>
      <c r="D71" s="172" t="s">
        <v>245</v>
      </c>
      <c r="E71" s="173"/>
      <c r="F71" s="173">
        <v>580</v>
      </c>
      <c r="G71" s="174"/>
    </row>
    <row r="72" spans="1:7">
      <c r="A72" s="175"/>
      <c r="B72" s="176" t="s">
        <v>103</v>
      </c>
      <c r="C72" s="176" t="s">
        <v>247</v>
      </c>
      <c r="D72" s="177" t="s">
        <v>245</v>
      </c>
      <c r="E72" s="178">
        <v>580</v>
      </c>
      <c r="F72" s="178"/>
      <c r="G72" s="174"/>
    </row>
    <row r="73" spans="1:7">
      <c r="A73" s="170" t="s">
        <v>301</v>
      </c>
      <c r="B73" s="171" t="s">
        <v>246</v>
      </c>
      <c r="C73" s="171" t="s">
        <v>248</v>
      </c>
      <c r="D73" s="172" t="s">
        <v>249</v>
      </c>
      <c r="E73" s="173"/>
      <c r="F73" s="173">
        <v>833.33</v>
      </c>
      <c r="G73" s="174"/>
    </row>
    <row r="74" spans="1:7">
      <c r="A74" s="175"/>
      <c r="B74" s="176" t="s">
        <v>103</v>
      </c>
      <c r="C74" s="176" t="s">
        <v>248</v>
      </c>
      <c r="D74" s="177" t="s">
        <v>249</v>
      </c>
      <c r="E74" s="178">
        <v>833.33</v>
      </c>
      <c r="F74" s="178"/>
      <c r="G74" s="174"/>
    </row>
    <row r="75" spans="1:7">
      <c r="A75" s="170" t="s">
        <v>301</v>
      </c>
      <c r="B75" s="171" t="s">
        <v>99</v>
      </c>
      <c r="C75" s="171" t="s">
        <v>250</v>
      </c>
      <c r="D75" s="172" t="s">
        <v>251</v>
      </c>
      <c r="E75" s="173">
        <v>1812</v>
      </c>
      <c r="F75" s="173"/>
      <c r="G75" s="174"/>
    </row>
    <row r="76" spans="1:7">
      <c r="A76" s="175"/>
      <c r="B76" s="176" t="s">
        <v>252</v>
      </c>
      <c r="C76" s="176" t="s">
        <v>250</v>
      </c>
      <c r="D76" s="177" t="s">
        <v>253</v>
      </c>
      <c r="E76" s="178"/>
      <c r="F76" s="178">
        <v>1812</v>
      </c>
      <c r="G76" s="174"/>
    </row>
    <row r="77" spans="1:7">
      <c r="A77" s="170" t="s">
        <v>301</v>
      </c>
      <c r="B77" s="171" t="s">
        <v>99</v>
      </c>
      <c r="C77" s="171" t="s">
        <v>254</v>
      </c>
      <c r="D77" s="172" t="s">
        <v>56</v>
      </c>
      <c r="E77" s="173">
        <v>4260</v>
      </c>
      <c r="F77" s="173"/>
      <c r="G77" s="174"/>
    </row>
    <row r="78" spans="1:7">
      <c r="A78" s="179"/>
      <c r="B78" s="180" t="s">
        <v>255</v>
      </c>
      <c r="C78" s="180" t="s">
        <v>254</v>
      </c>
      <c r="D78" s="181" t="s">
        <v>56</v>
      </c>
      <c r="E78" s="182"/>
      <c r="F78" s="182">
        <v>4260</v>
      </c>
      <c r="G78" s="174"/>
    </row>
    <row r="79" spans="1:7">
      <c r="A79" s="170" t="s">
        <v>301</v>
      </c>
      <c r="B79" s="171" t="s">
        <v>256</v>
      </c>
      <c r="C79" s="171" t="s">
        <v>257</v>
      </c>
      <c r="D79" s="172" t="s">
        <v>258</v>
      </c>
      <c r="E79" s="173"/>
      <c r="F79" s="173">
        <v>2856</v>
      </c>
      <c r="G79" s="174"/>
    </row>
    <row r="80" spans="1:7">
      <c r="A80" s="175"/>
      <c r="B80" s="176" t="s">
        <v>99</v>
      </c>
      <c r="C80" s="176" t="s">
        <v>257</v>
      </c>
      <c r="D80" s="177" t="s">
        <v>258</v>
      </c>
      <c r="E80" s="178">
        <v>2856</v>
      </c>
      <c r="F80" s="178"/>
      <c r="G80" s="174"/>
    </row>
    <row r="81" spans="1:7">
      <c r="A81" s="170" t="s">
        <v>301</v>
      </c>
      <c r="B81" s="171" t="s">
        <v>259</v>
      </c>
      <c r="C81" s="171" t="s">
        <v>260</v>
      </c>
      <c r="D81" s="172" t="s">
        <v>261</v>
      </c>
      <c r="E81" s="173"/>
      <c r="F81" s="173">
        <v>2136</v>
      </c>
      <c r="G81" s="174"/>
    </row>
    <row r="82" spans="1:7">
      <c r="A82" s="175"/>
      <c r="B82" s="176" t="s">
        <v>99</v>
      </c>
      <c r="C82" s="176" t="s">
        <v>260</v>
      </c>
      <c r="D82" s="177" t="s">
        <v>261</v>
      </c>
      <c r="E82" s="178">
        <v>2136</v>
      </c>
      <c r="F82" s="178"/>
      <c r="G82" s="174"/>
    </row>
    <row r="83" spans="1:7">
      <c r="A83" s="170" t="s">
        <v>301</v>
      </c>
      <c r="B83" s="171" t="s">
        <v>262</v>
      </c>
      <c r="C83" s="171" t="s">
        <v>263</v>
      </c>
      <c r="D83" s="172" t="s">
        <v>264</v>
      </c>
      <c r="E83" s="173">
        <v>4998</v>
      </c>
      <c r="F83" s="173"/>
      <c r="G83" s="174"/>
    </row>
    <row r="84" spans="1:7">
      <c r="A84" s="175"/>
      <c r="B84" s="176" t="s">
        <v>103</v>
      </c>
      <c r="C84" s="176" t="s">
        <v>263</v>
      </c>
      <c r="D84" s="177" t="s">
        <v>264</v>
      </c>
      <c r="E84" s="178"/>
      <c r="F84" s="178">
        <v>4998</v>
      </c>
      <c r="G84" s="174"/>
    </row>
    <row r="85" spans="1:7">
      <c r="A85" s="170" t="s">
        <v>301</v>
      </c>
      <c r="B85" s="171" t="s">
        <v>131</v>
      </c>
      <c r="C85" s="171" t="s">
        <v>265</v>
      </c>
      <c r="D85" s="172" t="s">
        <v>266</v>
      </c>
      <c r="E85" s="173">
        <v>6654</v>
      </c>
      <c r="F85" s="173"/>
      <c r="G85" s="174"/>
    </row>
    <row r="86" spans="1:7">
      <c r="A86" s="175"/>
      <c r="B86" s="176" t="s">
        <v>122</v>
      </c>
      <c r="C86" s="176" t="s">
        <v>265</v>
      </c>
      <c r="D86" s="177" t="s">
        <v>266</v>
      </c>
      <c r="E86" s="178"/>
      <c r="F86" s="178">
        <v>6654</v>
      </c>
      <c r="G86" s="174"/>
    </row>
    <row r="87" spans="1:7">
      <c r="A87" s="189"/>
      <c r="B87" s="189"/>
      <c r="C87" s="189"/>
      <c r="D87" s="190"/>
      <c r="E87" s="191">
        <f>SUM(E5:E86)</f>
        <v>179264.80277777778</v>
      </c>
      <c r="F87" s="191">
        <f>SUM(F5:F86)</f>
        <v>179264.80277777775</v>
      </c>
    </row>
    <row r="90" spans="1:7">
      <c r="A90" s="170" t="s">
        <v>301</v>
      </c>
      <c r="B90" s="192" t="s">
        <v>80</v>
      </c>
      <c r="C90" s="192" t="s">
        <v>71</v>
      </c>
      <c r="D90" s="193" t="s">
        <v>179</v>
      </c>
      <c r="E90" s="194">
        <v>15420.19</v>
      </c>
      <c r="F90" s="194"/>
    </row>
    <row r="91" spans="1:7">
      <c r="A91" s="170" t="s">
        <v>301</v>
      </c>
      <c r="B91" s="195" t="s">
        <v>80</v>
      </c>
      <c r="C91" s="195" t="s">
        <v>71</v>
      </c>
      <c r="D91" s="196" t="s">
        <v>179</v>
      </c>
      <c r="E91" s="197">
        <v>43.8</v>
      </c>
      <c r="F91" s="197"/>
    </row>
    <row r="92" spans="1:7">
      <c r="A92" s="170" t="s">
        <v>301</v>
      </c>
      <c r="B92" s="195" t="s">
        <v>267</v>
      </c>
      <c r="C92" s="195" t="s">
        <v>71</v>
      </c>
      <c r="D92" s="196" t="s">
        <v>179</v>
      </c>
      <c r="E92" s="197"/>
      <c r="F92" s="197">
        <v>43.8</v>
      </c>
    </row>
    <row r="93" spans="1:7">
      <c r="A93" s="170" t="s">
        <v>301</v>
      </c>
      <c r="B93" s="195" t="s">
        <v>74</v>
      </c>
      <c r="C93" s="195" t="s">
        <v>71</v>
      </c>
      <c r="D93" s="196" t="s">
        <v>179</v>
      </c>
      <c r="E93" s="197"/>
      <c r="F93" s="197">
        <v>3970</v>
      </c>
    </row>
    <row r="94" spans="1:7" ht="17.45" customHeight="1">
      <c r="A94" s="170" t="s">
        <v>301</v>
      </c>
      <c r="B94" s="195" t="s">
        <v>75</v>
      </c>
      <c r="C94" s="195" t="s">
        <v>71</v>
      </c>
      <c r="D94" s="196" t="s">
        <v>179</v>
      </c>
      <c r="E94" s="197"/>
      <c r="F94" s="197">
        <v>4549</v>
      </c>
    </row>
    <row r="95" spans="1:7">
      <c r="A95" s="170" t="s">
        <v>301</v>
      </c>
      <c r="B95" s="195" t="s">
        <v>76</v>
      </c>
      <c r="C95" s="195" t="s">
        <v>71</v>
      </c>
      <c r="D95" s="196" t="s">
        <v>179</v>
      </c>
      <c r="E95" s="197"/>
      <c r="F95" s="197">
        <v>5028.1899999999996</v>
      </c>
    </row>
    <row r="96" spans="1:7">
      <c r="A96" s="170" t="s">
        <v>301</v>
      </c>
      <c r="B96" s="195" t="s">
        <v>77</v>
      </c>
      <c r="C96" s="195" t="s">
        <v>71</v>
      </c>
      <c r="D96" s="196" t="s">
        <v>179</v>
      </c>
      <c r="E96" s="197"/>
      <c r="F96" s="197">
        <v>913</v>
      </c>
    </row>
    <row r="97" spans="1:6">
      <c r="A97" s="170" t="s">
        <v>301</v>
      </c>
      <c r="B97" s="198" t="s">
        <v>77</v>
      </c>
      <c r="C97" s="198" t="s">
        <v>71</v>
      </c>
      <c r="D97" s="199" t="s">
        <v>179</v>
      </c>
      <c r="E97" s="200"/>
      <c r="F97" s="200">
        <v>960</v>
      </c>
    </row>
  </sheetData>
  <mergeCells count="1">
    <mergeCell ref="D2:F2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1. Emprunt (prof)</vt:lpstr>
      <vt:lpstr>2. Immobilisations (Prof)</vt:lpstr>
      <vt:lpstr>Créances douteuses (prof)</vt:lpstr>
      <vt:lpstr>IS et Affectation Résultat</vt:lpstr>
      <vt:lpstr>Feuil1</vt:lpstr>
      <vt:lpstr>Corrigé ecritures inventaire</vt:lpstr>
      <vt:lpstr>'Corrigé ecritures inventaire'!Zone_d_impression</vt:lpstr>
      <vt:lpstr>'Créances douteuses (prof)'!Zone_d_impression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Administrateur</cp:lastModifiedBy>
  <cp:lastPrinted>2017-10-18T12:39:40Z</cp:lastPrinted>
  <dcterms:created xsi:type="dcterms:W3CDTF">1997-12-16T21:59:41Z</dcterms:created>
  <dcterms:modified xsi:type="dcterms:W3CDTF">2019-11-06T15:57:49Z</dcterms:modified>
</cp:coreProperties>
</file>