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248"/>
  </bookViews>
  <sheets>
    <sheet name="Corrigé ecritures inventaire" sheetId="25" r:id="rId1"/>
    <sheet name="Corrigé Immobilisations" sheetId="14" r:id="rId2"/>
    <sheet name="Créances douteuses (prof)" sheetId="22" r:id="rId3"/>
    <sheet name="IS" sheetId="23" r:id="rId4"/>
    <sheet name="Contrôle Bilan-cpte Rt-" sheetId="26" r:id="rId5"/>
    <sheet name="Affectation du résultat" sheetId="27" r:id="rId6"/>
  </sheets>
  <definedNames>
    <definedName name="_bff01">#REF!</definedName>
    <definedName name="_ter01">#REF!</definedName>
    <definedName name="BFF">#REF!</definedName>
    <definedName name="BilFF">#REF!</definedName>
    <definedName name="BilFFin">#REF!</definedName>
    <definedName name="tabER">#REF!</definedName>
    <definedName name="tabERes">#REF!</definedName>
    <definedName name="TabSIG">#REF!</definedName>
    <definedName name="tabSIGes">#REF!</definedName>
    <definedName name="TER">#REF!</definedName>
    <definedName name="TSIG">#REF!</definedName>
    <definedName name="wrn.CGM." hidden="1">{#N/A,#N/A,FALSE,"ACTIF_95";#N/A,#N/A,FALSE,"PASSIF_95";#N/A,#N/A,FALSE,"RESULTAT_95";#N/A,#N/A,FALSE,"RESULTAT1_95";#N/A,#N/A,FALSE,"RESULTAT_96";#N/A,#N/A,FALSE,"RESULTAT1_96";#N/A,#N/A,FALSE,"ACTIF_96";#N/A,#N/A,FALSE,"PASSIF_96";#N/A,#N/A,FALSE,"SIG_95_96";#N/A,#N/A,FALSE,"BILAN_FONCT 95_96";#N/A,#N/A,FALSE,"MODE_FIN"}</definedName>
    <definedName name="_xlnm.Print_Area" localSheetId="2">'Créances douteuses (prof)'!$A$1:$M$13</definedName>
  </definedNames>
  <calcPr calcId="145621"/>
</workbook>
</file>

<file path=xl/calcChain.xml><?xml version="1.0" encoding="utf-8"?>
<calcChain xmlns="http://schemas.openxmlformats.org/spreadsheetml/2006/main">
  <c r="H10" i="27" l="1"/>
  <c r="I10" i="27"/>
  <c r="I9" i="27"/>
  <c r="I7" i="27"/>
  <c r="I8" i="27"/>
  <c r="I6" i="27"/>
  <c r="I5" i="27"/>
  <c r="I4" i="27"/>
  <c r="H3" i="27"/>
  <c r="D23" i="27"/>
  <c r="C22" i="27"/>
  <c r="D22" i="27" s="1"/>
  <c r="C21" i="27"/>
  <c r="D21" i="27" s="1"/>
  <c r="D20" i="27"/>
  <c r="C20" i="27"/>
  <c r="C14" i="27"/>
  <c r="C15" i="27" s="1"/>
  <c r="B6" i="27"/>
  <c r="E13" i="27" s="1"/>
  <c r="D13" i="27" l="1"/>
  <c r="E65" i="25" l="1"/>
  <c r="F66" i="25" s="1"/>
  <c r="E27" i="25"/>
  <c r="F28" i="25" s="1"/>
  <c r="E23" i="25"/>
  <c r="F24" i="25" s="1"/>
  <c r="E21" i="25"/>
  <c r="F22" i="25" s="1"/>
  <c r="F9" i="25" s="1"/>
  <c r="E19" i="25"/>
  <c r="E15" i="25"/>
  <c r="F88" i="25" l="1"/>
  <c r="E8" i="25"/>
  <c r="E88" i="25" s="1"/>
  <c r="D3" i="23" l="1"/>
  <c r="J10" i="14" l="1"/>
  <c r="J19" i="14"/>
  <c r="J15" i="14"/>
  <c r="D6" i="23" l="1"/>
  <c r="E32" i="23" l="1"/>
  <c r="E33" i="23" s="1"/>
  <c r="D5" i="23"/>
  <c r="D4" i="23" s="1"/>
  <c r="C6" i="23"/>
  <c r="C5" i="23"/>
  <c r="P11" i="14"/>
  <c r="M10" i="14"/>
  <c r="L11" i="14"/>
  <c r="K11" i="14"/>
  <c r="G11" i="14"/>
  <c r="F11" i="14"/>
  <c r="E11" i="14"/>
  <c r="H10" i="14"/>
  <c r="O10" i="14" s="1"/>
  <c r="D7" i="23" l="1"/>
  <c r="B3" i="27" s="1"/>
  <c r="G22" i="23"/>
  <c r="D30" i="23"/>
  <c r="C4" i="23"/>
  <c r="C7" i="23" s="1"/>
  <c r="E36" i="14"/>
  <c r="F16" i="14" s="1"/>
  <c r="F17" i="14" s="1"/>
  <c r="O34" i="14"/>
  <c r="N34" i="14"/>
  <c r="M34" i="14"/>
  <c r="L34" i="14"/>
  <c r="K34" i="14"/>
  <c r="J34" i="14"/>
  <c r="I34" i="14"/>
  <c r="O26" i="14"/>
  <c r="L26" i="14"/>
  <c r="K26" i="14"/>
  <c r="G26" i="14"/>
  <c r="F26" i="14"/>
  <c r="E26" i="14"/>
  <c r="J25" i="14"/>
  <c r="I25" i="14"/>
  <c r="H25" i="14"/>
  <c r="J24" i="14"/>
  <c r="I24" i="14"/>
  <c r="H24" i="14"/>
  <c r="O23" i="14"/>
  <c r="L23" i="14"/>
  <c r="K23" i="14"/>
  <c r="G23" i="14"/>
  <c r="F23" i="14"/>
  <c r="E23" i="14"/>
  <c r="J22" i="14"/>
  <c r="I22" i="14"/>
  <c r="H22" i="14"/>
  <c r="J21" i="14"/>
  <c r="I21" i="14"/>
  <c r="H21" i="14"/>
  <c r="O20" i="14"/>
  <c r="K20" i="14"/>
  <c r="G20" i="14"/>
  <c r="F20" i="14"/>
  <c r="E20" i="14"/>
  <c r="I19" i="14"/>
  <c r="M19" i="14" s="1"/>
  <c r="H19" i="14"/>
  <c r="J18" i="14"/>
  <c r="I18" i="14"/>
  <c r="H18" i="14"/>
  <c r="O17" i="14"/>
  <c r="G17" i="14"/>
  <c r="E17" i="14"/>
  <c r="M16" i="14"/>
  <c r="I15" i="14"/>
  <c r="H15" i="14"/>
  <c r="J14" i="14"/>
  <c r="I14" i="14"/>
  <c r="H14" i="14"/>
  <c r="J13" i="14"/>
  <c r="I13" i="14"/>
  <c r="H13" i="14"/>
  <c r="J12" i="14"/>
  <c r="I12" i="14"/>
  <c r="H12" i="14"/>
  <c r="O11" i="14"/>
  <c r="J9" i="14"/>
  <c r="I9" i="14"/>
  <c r="H9" i="14"/>
  <c r="J8" i="14"/>
  <c r="I8" i="14"/>
  <c r="I11" i="14" s="1"/>
  <c r="H8" i="14"/>
  <c r="O7" i="14"/>
  <c r="L7" i="14"/>
  <c r="K7" i="14"/>
  <c r="J7" i="14"/>
  <c r="I7" i="14"/>
  <c r="G7" i="14"/>
  <c r="F7" i="14"/>
  <c r="E7" i="14"/>
  <c r="M6" i="14"/>
  <c r="M7" i="14" s="1"/>
  <c r="H6" i="14"/>
  <c r="H7" i="14" s="1"/>
  <c r="N7" i="14" s="1"/>
  <c r="D32" i="23" l="1"/>
  <c r="F30" i="23"/>
  <c r="B4" i="27"/>
  <c r="B5" i="27" s="1"/>
  <c r="B8" i="27" s="1"/>
  <c r="J11" i="14"/>
  <c r="M14" i="14"/>
  <c r="M13" i="14"/>
  <c r="G27" i="14"/>
  <c r="H20" i="14"/>
  <c r="G16" i="23"/>
  <c r="E27" i="14"/>
  <c r="I20" i="14"/>
  <c r="J23" i="14"/>
  <c r="J26" i="14"/>
  <c r="D17" i="23"/>
  <c r="D19" i="23" s="1"/>
  <c r="F19" i="23" s="1"/>
  <c r="J17" i="14"/>
  <c r="H26" i="14"/>
  <c r="F27" i="14"/>
  <c r="H11" i="14"/>
  <c r="M9" i="14"/>
  <c r="N9" i="14" s="1"/>
  <c r="M12" i="14"/>
  <c r="N12" i="14" s="1"/>
  <c r="M22" i="14"/>
  <c r="N22" i="14" s="1"/>
  <c r="M25" i="14"/>
  <c r="N14" i="14"/>
  <c r="M24" i="14"/>
  <c r="N24" i="14" s="1"/>
  <c r="K15" i="14"/>
  <c r="K17" i="14" s="1"/>
  <c r="K27" i="14" s="1"/>
  <c r="O27" i="14"/>
  <c r="N19" i="14"/>
  <c r="L18" i="14"/>
  <c r="H23" i="14"/>
  <c r="N13" i="14"/>
  <c r="J20" i="14"/>
  <c r="I23" i="14"/>
  <c r="N25" i="14"/>
  <c r="I17" i="14"/>
  <c r="M21" i="14"/>
  <c r="N21" i="14" s="1"/>
  <c r="I26" i="14"/>
  <c r="M8" i="14"/>
  <c r="N6" i="14"/>
  <c r="H16" i="14"/>
  <c r="N16" i="14" s="1"/>
  <c r="C9" i="27" l="1"/>
  <c r="B9" i="27" s="1"/>
  <c r="E14" i="27" s="1"/>
  <c r="F18" i="23"/>
  <c r="I16" i="23"/>
  <c r="D33" i="23"/>
  <c r="F33" i="23" s="1"/>
  <c r="F32" i="23"/>
  <c r="F17" i="23"/>
  <c r="D20" i="23"/>
  <c r="F20" i="23" s="1"/>
  <c r="I27" i="14"/>
  <c r="J27" i="14"/>
  <c r="M26" i="14"/>
  <c r="N26" i="14" s="1"/>
  <c r="L15" i="14"/>
  <c r="M11" i="14"/>
  <c r="N11" i="14" s="1"/>
  <c r="D21" i="23"/>
  <c r="M23" i="14"/>
  <c r="N23" i="14" s="1"/>
  <c r="N8" i="14"/>
  <c r="L20" i="14"/>
  <c r="M18" i="14"/>
  <c r="H17" i="14"/>
  <c r="F21" i="23" l="1"/>
  <c r="D28" i="23"/>
  <c r="F28" i="23" s="1"/>
  <c r="H17" i="23"/>
  <c r="H18" i="23" s="1"/>
  <c r="I17" i="23"/>
  <c r="B10" i="27"/>
  <c r="D14" i="27"/>
  <c r="E15" i="27"/>
  <c r="D15" i="27" s="1"/>
  <c r="L17" i="14"/>
  <c r="L27" i="14" s="1"/>
  <c r="M15" i="14"/>
  <c r="M20" i="14"/>
  <c r="N20" i="14" s="1"/>
  <c r="N18" i="14"/>
  <c r="H27" i="14"/>
  <c r="H19" i="23" l="1"/>
  <c r="H20" i="23" s="1"/>
  <c r="F34" i="23"/>
  <c r="F31" i="23"/>
  <c r="F29" i="23" s="1"/>
  <c r="I18" i="23"/>
  <c r="I19" i="23" s="1"/>
  <c r="N15" i="14"/>
  <c r="M17" i="14"/>
  <c r="I20" i="23" l="1"/>
  <c r="I21" i="23" s="1"/>
  <c r="M27" i="14"/>
  <c r="N17" i="14"/>
  <c r="H21" i="23" l="1"/>
  <c r="H22" i="23" s="1"/>
  <c r="N27" i="14"/>
  <c r="I22" i="23" l="1"/>
  <c r="I13" i="22"/>
  <c r="G13" i="22"/>
  <c r="F13" i="22"/>
  <c r="E13" i="22"/>
  <c r="K8" i="22"/>
  <c r="L8" i="22" s="1"/>
  <c r="L7" i="22"/>
  <c r="H12" i="22"/>
  <c r="J12" i="22" s="1"/>
  <c r="L12" i="22" s="1"/>
  <c r="H11" i="22"/>
  <c r="J11" i="22" s="1"/>
  <c r="L11" i="22" s="1"/>
  <c r="H10" i="22"/>
  <c r="J10" i="22" s="1"/>
  <c r="L10" i="22" s="1"/>
  <c r="H9" i="22"/>
  <c r="J9" i="22" s="1"/>
  <c r="L9" i="22" s="1"/>
  <c r="H8" i="22"/>
  <c r="H7" i="22"/>
  <c r="L13" i="22" l="1"/>
  <c r="K13" i="22"/>
  <c r="H13" i="22"/>
  <c r="J13" i="22"/>
</calcChain>
</file>

<file path=xl/sharedStrings.xml><?xml version="1.0" encoding="utf-8"?>
<sst xmlns="http://schemas.openxmlformats.org/spreadsheetml/2006/main" count="560" uniqueCount="327">
  <si>
    <t>PU</t>
  </si>
  <si>
    <t>durée amortissement</t>
  </si>
  <si>
    <t>Rubrique</t>
  </si>
  <si>
    <t>Descriptif</t>
  </si>
  <si>
    <t>Matériel de Transport</t>
  </si>
  <si>
    <t>VNC</t>
  </si>
  <si>
    <t>Installation générales</t>
  </si>
  <si>
    <t>Date acquisition</t>
  </si>
  <si>
    <t>Selon acte notarié</t>
  </si>
  <si>
    <t>Matériel de bureau</t>
  </si>
  <si>
    <t>Matériel informatique</t>
  </si>
  <si>
    <t>COTTAGE DE LYON</t>
  </si>
  <si>
    <t>Atelier production (facture DERIVOX)</t>
  </si>
  <si>
    <t>Matériel industriel</t>
  </si>
  <si>
    <t>Racks de rangement &amp; installations (Fact BUBOIS)</t>
  </si>
  <si>
    <t>Lot de machines à bois : toupie, tenonneuse, Mortaiseuse, scie, aspirateur d'atelier (fact Guichon)</t>
  </si>
  <si>
    <t>Ensemble bureau &amp; chaise (fact MA Forest)</t>
  </si>
  <si>
    <t>Ens. Comptoir et bureau d'accueil</t>
  </si>
  <si>
    <t>Citroën Jumper L2H2 HDI 100 CONFORT, Occasion 2 ans 34 500 Kms (fact Garage HUBERT)</t>
  </si>
  <si>
    <t>Total Installation générales</t>
  </si>
  <si>
    <t>Total Matériel industriel</t>
  </si>
  <si>
    <t>Total Matériel de bureau</t>
  </si>
  <si>
    <t>Total Matériel de Transport</t>
  </si>
  <si>
    <t>Total Matériel informatique</t>
  </si>
  <si>
    <t>Total général</t>
  </si>
  <si>
    <t>Droit au bail</t>
  </si>
  <si>
    <t>Total Droit au bail</t>
  </si>
  <si>
    <t xml:space="preserve">Ordinateur </t>
  </si>
  <si>
    <t>Salle d'expo : sol, cloison(fact Chichoux)</t>
  </si>
  <si>
    <t>Exposition (meubles peints)</t>
  </si>
  <si>
    <t>Jumper rallongé</t>
  </si>
  <si>
    <t>Diminution</t>
  </si>
  <si>
    <t>Commode Burlington 1930 acheté 810 €</t>
  </si>
  <si>
    <t>Bureau Burlington 1930, acheté 1032 €</t>
  </si>
  <si>
    <t>Armoire  Burlington 1930, acheté 707 €</t>
  </si>
  <si>
    <t>C0095</t>
  </si>
  <si>
    <t>C0126</t>
  </si>
  <si>
    <t>C0189</t>
  </si>
  <si>
    <t>C0157</t>
  </si>
  <si>
    <t>C0167</t>
  </si>
  <si>
    <t>Bailly</t>
  </si>
  <si>
    <t>Mathieu</t>
  </si>
  <si>
    <t>SA NRC</t>
  </si>
  <si>
    <t>Kaabech</t>
  </si>
  <si>
    <t>C0017</t>
  </si>
  <si>
    <t>Caillet</t>
  </si>
  <si>
    <t>Jeandel</t>
  </si>
  <si>
    <t>date facture</t>
  </si>
  <si>
    <t>Augm.</t>
  </si>
  <si>
    <t>diminution</t>
  </si>
  <si>
    <t>416000 Clients douteux</t>
  </si>
  <si>
    <t>491000 Dépréciation créances douteuses</t>
  </si>
  <si>
    <t>Taux dépréciation</t>
  </si>
  <si>
    <t>montant facture</t>
  </si>
  <si>
    <t>Code Client</t>
  </si>
  <si>
    <t>Nom Client</t>
  </si>
  <si>
    <t/>
  </si>
  <si>
    <t>15</t>
  </si>
  <si>
    <t>218100</t>
  </si>
  <si>
    <t>281500</t>
  </si>
  <si>
    <t>281810</t>
  </si>
  <si>
    <t>281820</t>
  </si>
  <si>
    <t>281830</t>
  </si>
  <si>
    <t>445621</t>
  </si>
  <si>
    <t>471000</t>
  </si>
  <si>
    <t>681110</t>
  </si>
  <si>
    <t>687100</t>
  </si>
  <si>
    <t>IMMOB BRUTES</t>
  </si>
  <si>
    <t>AMORTISSEMENTS au 31/08/N</t>
  </si>
  <si>
    <t>Détail de réalisation de meubles peints</t>
  </si>
  <si>
    <t xml:space="preserve">Chariot élévateur TEU neuf </t>
  </si>
  <si>
    <t>Les fournitures utilisées (peinture, pinceaux…) sont évaluées à 509,01€.</t>
  </si>
  <si>
    <t>sous-traitance</t>
  </si>
  <si>
    <t>6037</t>
  </si>
  <si>
    <t>6817</t>
  </si>
  <si>
    <t>766</t>
  </si>
  <si>
    <t>Solde</t>
  </si>
  <si>
    <t>Réserve légale</t>
  </si>
  <si>
    <t>2181</t>
  </si>
  <si>
    <t>2182</t>
  </si>
  <si>
    <t>2815</t>
  </si>
  <si>
    <t>28182</t>
  </si>
  <si>
    <t>371</t>
  </si>
  <si>
    <t>3971</t>
  </si>
  <si>
    <t>416</t>
  </si>
  <si>
    <t>445661</t>
  </si>
  <si>
    <t>445711</t>
  </si>
  <si>
    <t>471</t>
  </si>
  <si>
    <t>491</t>
  </si>
  <si>
    <t>Machine défonceuse</t>
  </si>
  <si>
    <t>IS</t>
  </si>
  <si>
    <t>Bénéfice avant IS</t>
  </si>
  <si>
    <t>Bénéfice après IS</t>
  </si>
  <si>
    <t>à 15%</t>
  </si>
  <si>
    <t>Calcul de l'IS</t>
  </si>
  <si>
    <t>1er acompte IS</t>
  </si>
  <si>
    <t>2e acompte IS</t>
  </si>
  <si>
    <t>3e acompte IS</t>
  </si>
  <si>
    <t>4e acompte IS</t>
  </si>
  <si>
    <t>Base</t>
  </si>
  <si>
    <t>taux</t>
  </si>
  <si>
    <t>Montant</t>
  </si>
  <si>
    <t>base normale</t>
  </si>
  <si>
    <t>Régularisation 1er acompte</t>
  </si>
  <si>
    <t>145</t>
  </si>
  <si>
    <t>1515</t>
  </si>
  <si>
    <t>4098</t>
  </si>
  <si>
    <t>444</t>
  </si>
  <si>
    <t>486</t>
  </si>
  <si>
    <t>5908</t>
  </si>
  <si>
    <t>609</t>
  </si>
  <si>
    <t>615</t>
  </si>
  <si>
    <t>6413</t>
  </si>
  <si>
    <t>654</t>
  </si>
  <si>
    <t>675</t>
  </si>
  <si>
    <t>6865</t>
  </si>
  <si>
    <t>6951</t>
  </si>
  <si>
    <t>722</t>
  </si>
  <si>
    <t>775</t>
  </si>
  <si>
    <t>7817</t>
  </si>
  <si>
    <t>Affectation du résultat</t>
  </si>
  <si>
    <t>Bénéfice</t>
  </si>
  <si>
    <t>Bénéfice disponible</t>
  </si>
  <si>
    <t>Réserve facultative</t>
  </si>
  <si>
    <t>Intérêt statutaire</t>
  </si>
  <si>
    <t>= 6% 50€ x 800 actions</t>
  </si>
  <si>
    <t>Total distribuable</t>
  </si>
  <si>
    <t>Superdividende</t>
  </si>
  <si>
    <t>Constation IS 2017</t>
  </si>
  <si>
    <t>à 28%</t>
  </si>
  <si>
    <t>Montant Débit</t>
  </si>
  <si>
    <t>Montant Crédit</t>
  </si>
  <si>
    <t>Solde Débit</t>
  </si>
  <si>
    <t>Solde crédit</t>
  </si>
  <si>
    <t>Immobilisations au 31/08/20N(avant régularisations ou acquisitions)</t>
  </si>
  <si>
    <r>
      <t xml:space="preserve"> 2- Immobilisations au 31/08/N         </t>
    </r>
    <r>
      <rPr>
        <b/>
        <sz val="14"/>
        <color rgb="FFFF0000"/>
        <rFont val="Arial"/>
        <family val="2"/>
      </rPr>
      <t>CORRIGE</t>
    </r>
  </si>
  <si>
    <t>16/03/20N</t>
  </si>
  <si>
    <t>Montant Bilan 31/12/2017</t>
  </si>
  <si>
    <t>Total Immob 31/12/2018</t>
  </si>
  <si>
    <t>Dotation au 31/12/2017</t>
  </si>
  <si>
    <t>Dotation 2018</t>
  </si>
  <si>
    <t>Acquisitions 2018</t>
  </si>
  <si>
    <t>Cessions 2018</t>
  </si>
  <si>
    <t>Dot Except. Amort 2018</t>
  </si>
  <si>
    <t>Cumul amort au 31/12/2018</t>
  </si>
  <si>
    <t>Amortis Dérogatoire</t>
  </si>
  <si>
    <t>AU 31/12/2017</t>
  </si>
  <si>
    <t>Au 31/12/2018</t>
  </si>
  <si>
    <t>Liquidation de l'IS 2017</t>
  </si>
  <si>
    <t>Brouillard de Saisie</t>
  </si>
  <si>
    <t>Proposition de corrigé Mission 1 Ecritures d'inventaire</t>
  </si>
  <si>
    <t>Cottage de Lyon</t>
  </si>
  <si>
    <t>OD</t>
  </si>
  <si>
    <t>Opérations diverses</t>
  </si>
  <si>
    <t>Jour</t>
  </si>
  <si>
    <t>N° compte</t>
  </si>
  <si>
    <t>N°pièce</t>
  </si>
  <si>
    <t>Libellé écriture</t>
  </si>
  <si>
    <t>Mvts débit</t>
  </si>
  <si>
    <t>Mvts crédit</t>
  </si>
  <si>
    <t>6611</t>
  </si>
  <si>
    <t>2</t>
  </si>
  <si>
    <t>1668</t>
  </si>
  <si>
    <t>Int courus 15-12 au 31/12 (120,75/2)</t>
  </si>
  <si>
    <t>68112</t>
  </si>
  <si>
    <t>3</t>
  </si>
  <si>
    <t>Dot aux amortis Selon tableau amort</t>
  </si>
  <si>
    <t>4</t>
  </si>
  <si>
    <t>maintenance défonceuse sept à août n+1</t>
  </si>
  <si>
    <t>215</t>
  </si>
  <si>
    <t>Défonceuse</t>
  </si>
  <si>
    <t>Défonceuse régularisation</t>
  </si>
  <si>
    <t>5</t>
  </si>
  <si>
    <t>Régul TVA s/défonceuse</t>
  </si>
  <si>
    <t>6</t>
  </si>
  <si>
    <t>Maintenance 10 mois pour année N+1</t>
  </si>
  <si>
    <t>7</t>
  </si>
  <si>
    <t xml:space="preserve">Dot éco machine : </t>
  </si>
  <si>
    <t>2750 * 25% * (23+30)/360</t>
  </si>
  <si>
    <t>68725</t>
  </si>
  <si>
    <t>8</t>
  </si>
  <si>
    <t>Dot fiscale (2750*31,25%*2/12)-(dot éco)</t>
  </si>
  <si>
    <t>9</t>
  </si>
  <si>
    <t>Citroën Jumper rallongé</t>
  </si>
  <si>
    <t xml:space="preserve">2H </t>
  </si>
  <si>
    <t>10</t>
  </si>
  <si>
    <t>Dot amort Jumper 56/360 x 25% x 19000</t>
  </si>
  <si>
    <t>11</t>
  </si>
  <si>
    <t>régularisation vte Jumper Giraudet</t>
  </si>
  <si>
    <t>12</t>
  </si>
  <si>
    <t>Sortie patrimoine Jumper</t>
  </si>
  <si>
    <t>13</t>
  </si>
  <si>
    <t>installation salle expo Décembre</t>
  </si>
  <si>
    <t>4457101</t>
  </si>
  <si>
    <t>14</t>
  </si>
  <si>
    <t>Complt amort salle exo au rebus</t>
  </si>
  <si>
    <t>Sortie patrimoine salle expo</t>
  </si>
  <si>
    <t>16</t>
  </si>
  <si>
    <t>Annulation stock initial</t>
  </si>
  <si>
    <t>17</t>
  </si>
  <si>
    <t>Reprise dépréciation stock init</t>
  </si>
  <si>
    <t>18</t>
  </si>
  <si>
    <t xml:space="preserve">Stock final </t>
  </si>
  <si>
    <t>Stock final</t>
  </si>
  <si>
    <t>19</t>
  </si>
  <si>
    <t>Dépréciation SF</t>
  </si>
  <si>
    <t>4011</t>
  </si>
  <si>
    <t>20</t>
  </si>
  <si>
    <t>Régul écart de change £9862.80</t>
  </si>
  <si>
    <t>21</t>
  </si>
  <si>
    <t>Solde (-£438+14081,52)/0.8591</t>
  </si>
  <si>
    <t>4772</t>
  </si>
  <si>
    <t>22</t>
  </si>
  <si>
    <t>MA FOREST avoir s/324538 d'achat</t>
  </si>
  <si>
    <t>44586</t>
  </si>
  <si>
    <t>411237</t>
  </si>
  <si>
    <t>23</t>
  </si>
  <si>
    <t>régul  5697.57FS x 0.9189-5260</t>
  </si>
  <si>
    <t>4761</t>
  </si>
  <si>
    <t>24</t>
  </si>
  <si>
    <t>Prov perte de change WENGER</t>
  </si>
  <si>
    <t>25</t>
  </si>
  <si>
    <t>Primes Antoine (1500) Odile (1800)</t>
  </si>
  <si>
    <t>428</t>
  </si>
  <si>
    <t>645</t>
  </si>
  <si>
    <t>26</t>
  </si>
  <si>
    <t>Charges à payer s/primes 41%</t>
  </si>
  <si>
    <t>438</t>
  </si>
  <si>
    <t>Charges à payer s/primes</t>
  </si>
  <si>
    <t>686</t>
  </si>
  <si>
    <t>27</t>
  </si>
  <si>
    <t>BNP Optimal 15218.33- (15x997.12)</t>
  </si>
  <si>
    <t>28</t>
  </si>
  <si>
    <t>Caillet irrécouvrable NPAI</t>
  </si>
  <si>
    <t>78174</t>
  </si>
  <si>
    <t>29</t>
  </si>
  <si>
    <t>30</t>
  </si>
  <si>
    <t>Bailly diminut° créance</t>
  </si>
  <si>
    <t>31</t>
  </si>
  <si>
    <t>MATHIEU Douteux</t>
  </si>
  <si>
    <t>411126</t>
  </si>
  <si>
    <t>MATHIEU</t>
  </si>
  <si>
    <t>32</t>
  </si>
  <si>
    <t>411157</t>
  </si>
  <si>
    <t>411167</t>
  </si>
  <si>
    <t>33</t>
  </si>
  <si>
    <t>JEANDEL</t>
  </si>
  <si>
    <t>411189</t>
  </si>
  <si>
    <t>34</t>
  </si>
  <si>
    <t>KAABECH</t>
  </si>
  <si>
    <t>68174</t>
  </si>
  <si>
    <t>35</t>
  </si>
  <si>
    <t>dép clients douteux selon tableau</t>
  </si>
  <si>
    <t>36</t>
  </si>
  <si>
    <t>IS à Payer</t>
  </si>
  <si>
    <t>280510</t>
  </si>
  <si>
    <t>15/06/218</t>
  </si>
  <si>
    <t>par action</t>
  </si>
  <si>
    <t>Qté</t>
  </si>
  <si>
    <t>intérêt statutaire</t>
  </si>
  <si>
    <t>superdividende</t>
  </si>
  <si>
    <t>TOTAL</t>
  </si>
  <si>
    <t>acpte théorique (1694) - 1er acompte (1 278)</t>
  </si>
  <si>
    <t>Liquidation de l'IS 2018</t>
  </si>
  <si>
    <t>Planning prévisionnel pour liquider l'IS 2019</t>
  </si>
  <si>
    <t>entreprise nouvellement créée, règlement en une seule fois le 15 mai</t>
  </si>
  <si>
    <t>Constation IS 2018</t>
  </si>
  <si>
    <t>Total des acomptes</t>
  </si>
  <si>
    <t>Référence</t>
  </si>
  <si>
    <t xml:space="preserve">Montant </t>
  </si>
  <si>
    <t xml:space="preserve">Montant brut </t>
  </si>
  <si>
    <t>Bilan</t>
  </si>
  <si>
    <t>BJ</t>
  </si>
  <si>
    <t xml:space="preserve">Dotations aux amortissements </t>
  </si>
  <si>
    <t>Balance</t>
  </si>
  <si>
    <t>Tableau immob</t>
  </si>
  <si>
    <t>Sources de compararaison</t>
  </si>
  <si>
    <t>Amortissement total</t>
  </si>
  <si>
    <t>Créances douteuses</t>
  </si>
  <si>
    <t>Total des créances douteuses</t>
  </si>
  <si>
    <t>Tableau des créances</t>
  </si>
  <si>
    <t>Actif = passif</t>
  </si>
  <si>
    <t>Résultat</t>
  </si>
  <si>
    <t>Commentaire</t>
  </si>
  <si>
    <t>Tableau de contrôle des travaux d'inventaire avec les états financiers</t>
  </si>
  <si>
    <t>Valeur nette</t>
  </si>
  <si>
    <t>BK</t>
  </si>
  <si>
    <t>Montants conformes</t>
  </si>
  <si>
    <t>nbre d'actions</t>
  </si>
  <si>
    <t>dividende</t>
  </si>
  <si>
    <t>total</t>
  </si>
  <si>
    <t>Affectation des dividendes à chaque actionnaire</t>
  </si>
  <si>
    <t>Calcul du dividende par action</t>
  </si>
  <si>
    <t>Débit</t>
  </si>
  <si>
    <t>Crédit</t>
  </si>
  <si>
    <t xml:space="preserve">Madame Bénédicte VANIER </t>
  </si>
  <si>
    <t>Monsieur Christian MOCOY</t>
  </si>
  <si>
    <t>Madame MA FOREST</t>
  </si>
  <si>
    <t>Comptabilisation de l'affectation du Rt</t>
  </si>
  <si>
    <t>Selon AGO du …</t>
  </si>
  <si>
    <t>N° Cpte</t>
  </si>
  <si>
    <t>Libellé</t>
  </si>
  <si>
    <t>Totaux</t>
  </si>
  <si>
    <t>GA (68112)</t>
  </si>
  <si>
    <t>Stock de meubles</t>
  </si>
  <si>
    <t>Dépréciation stock de meubles</t>
  </si>
  <si>
    <t>Enoncé</t>
  </si>
  <si>
    <t>Conforme à l'énoncé</t>
  </si>
  <si>
    <t>BT</t>
  </si>
  <si>
    <t>BU</t>
  </si>
  <si>
    <t>Dépréciation créances douteuses</t>
  </si>
  <si>
    <t>BY</t>
  </si>
  <si>
    <t>Dotations de l'année</t>
  </si>
  <si>
    <t>DI</t>
  </si>
  <si>
    <t>Compte d'attente</t>
  </si>
  <si>
    <t>OK Soldé</t>
  </si>
  <si>
    <t>Empunts</t>
  </si>
  <si>
    <t>Tableau d'emprunt</t>
  </si>
  <si>
    <t>DU</t>
  </si>
  <si>
    <t>Rt Bilan = Rt Compte de Rt</t>
  </si>
  <si>
    <t>CO / EE</t>
  </si>
  <si>
    <t>Compte de Rt</t>
  </si>
  <si>
    <t>HN / DI</t>
  </si>
  <si>
    <t>= augm amortis d'exploit</t>
  </si>
  <si>
    <t>Immobilisations &amp; Stocks</t>
  </si>
  <si>
    <t>Passif du bilan</t>
  </si>
  <si>
    <r>
      <t>Tableau des créances douteuses au 31/08/20N (</t>
    </r>
    <r>
      <rPr>
        <b/>
        <sz val="12"/>
        <color rgb="FF993366"/>
        <rFont val="Arial"/>
        <family val="2"/>
      </rPr>
      <t>CORRIGE)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</si>
</sst>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.00\ &quot;€&quot;"/>
    <numFmt numFmtId="166" formatCode="ddmmyy"/>
  </numFmts>
  <fonts count="25" x14ac:knownFonts="1">
    <font>
      <sz val="12"/>
      <name val="Times New Roman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i/>
      <sz val="11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632423"/>
      <name val="Calibri"/>
      <family val="2"/>
      <scheme val="minor"/>
    </font>
    <font>
      <sz val="11"/>
      <name val="Times New Roman"/>
      <family val="1"/>
    </font>
    <font>
      <b/>
      <sz val="11"/>
      <name val="Arial"/>
      <family val="2"/>
    </font>
    <font>
      <i/>
      <sz val="10"/>
      <name val="Arial"/>
      <family val="2"/>
    </font>
    <font>
      <b/>
      <sz val="16"/>
      <color indexed="9"/>
      <name val="Arial"/>
      <family val="2"/>
    </font>
    <font>
      <b/>
      <sz val="12"/>
      <color rgb="FF993366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258">
    <xf numFmtId="0" fontId="0" fillId="0" borderId="0" xfId="0"/>
    <xf numFmtId="0" fontId="9" fillId="0" borderId="0" xfId="0" applyFont="1"/>
    <xf numFmtId="0" fontId="9" fillId="0" borderId="9" xfId="0" applyFont="1" applyBorder="1"/>
    <xf numFmtId="0" fontId="9" fillId="0" borderId="0" xfId="0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43" fontId="9" fillId="0" borderId="9" xfId="4" applyFont="1" applyBorder="1" applyAlignment="1">
      <alignment horizontal="center" vertical="center"/>
    </xf>
    <xf numFmtId="43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9" fillId="0" borderId="9" xfId="0" applyNumberFormat="1" applyFont="1" applyBorder="1" applyAlignment="1">
      <alignment horizontal="center" vertical="center"/>
    </xf>
    <xf numFmtId="43" fontId="9" fillId="0" borderId="0" xfId="0" applyNumberFormat="1" applyFont="1"/>
    <xf numFmtId="43" fontId="6" fillId="0" borderId="9" xfId="4" applyFont="1" applyBorder="1"/>
    <xf numFmtId="43" fontId="6" fillId="0" borderId="1" xfId="4" applyFont="1" applyBorder="1"/>
    <xf numFmtId="43" fontId="6" fillId="0" borderId="11" xfId="4" applyFont="1" applyBorder="1"/>
    <xf numFmtId="0" fontId="6" fillId="0" borderId="6" xfId="0" applyFont="1" applyBorder="1"/>
    <xf numFmtId="43" fontId="6" fillId="0" borderId="29" xfId="4" applyFont="1" applyBorder="1"/>
    <xf numFmtId="43" fontId="6" fillId="0" borderId="3" xfId="4" applyFont="1" applyBorder="1"/>
    <xf numFmtId="43" fontId="6" fillId="0" borderId="10" xfId="4" applyFont="1" applyBorder="1"/>
    <xf numFmtId="43" fontId="6" fillId="0" borderId="28" xfId="4" applyFont="1" applyBorder="1"/>
    <xf numFmtId="0" fontId="6" fillId="0" borderId="0" xfId="0" applyFont="1"/>
    <xf numFmtId="43" fontId="6" fillId="0" borderId="27" xfId="0" applyNumberFormat="1" applyFont="1" applyBorder="1"/>
    <xf numFmtId="43" fontId="6" fillId="0" borderId="26" xfId="0" applyNumberFormat="1" applyFont="1" applyBorder="1"/>
    <xf numFmtId="43" fontId="6" fillId="0" borderId="5" xfId="0" applyNumberFormat="1" applyFont="1" applyBorder="1"/>
    <xf numFmtId="0" fontId="9" fillId="0" borderId="12" xfId="0" applyFont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4" fontId="6" fillId="3" borderId="1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14" fontId="9" fillId="4" borderId="9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14" fontId="9" fillId="4" borderId="9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3" fontId="9" fillId="5" borderId="9" xfId="4" applyFont="1" applyFill="1" applyBorder="1" applyAlignment="1">
      <alignment horizontal="center" vertical="center" wrapText="1"/>
    </xf>
    <xf numFmtId="43" fontId="7" fillId="5" borderId="9" xfId="4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43" fontId="9" fillId="5" borderId="9" xfId="4" applyFont="1" applyFill="1" applyBorder="1" applyAlignment="1">
      <alignment horizontal="center" vertical="center"/>
    </xf>
    <xf numFmtId="43" fontId="7" fillId="5" borderId="9" xfId="4" applyFont="1" applyFill="1" applyBorder="1" applyAlignment="1">
      <alignment horizontal="center" vertical="center"/>
    </xf>
    <xf numFmtId="43" fontId="9" fillId="6" borderId="9" xfId="0" applyNumberFormat="1" applyFont="1" applyFill="1" applyBorder="1" applyAlignment="1">
      <alignment horizontal="center" vertical="center"/>
    </xf>
    <xf numFmtId="43" fontId="7" fillId="6" borderId="9" xfId="0" applyNumberFormat="1" applyFont="1" applyFill="1" applyBorder="1" applyAlignment="1">
      <alignment horizontal="center" vertical="center"/>
    </xf>
    <xf numFmtId="43" fontId="7" fillId="0" borderId="9" xfId="4" applyFont="1" applyFill="1" applyBorder="1" applyAlignment="1">
      <alignment horizontal="center" vertical="center"/>
    </xf>
    <xf numFmtId="43" fontId="7" fillId="0" borderId="9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3" fontId="9" fillId="5" borderId="9" xfId="4" applyFont="1" applyFill="1" applyBorder="1" applyAlignment="1">
      <alignment horizontal="right" vertical="center"/>
    </xf>
    <xf numFmtId="43" fontId="9" fillId="6" borderId="9" xfId="4" applyFont="1" applyFill="1" applyBorder="1" applyAlignment="1">
      <alignment horizontal="right" vertical="center"/>
    </xf>
    <xf numFmtId="0" fontId="9" fillId="6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43" fontId="9" fillId="6" borderId="9" xfId="4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43" fontId="9" fillId="5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3" fontId="7" fillId="0" borderId="10" xfId="4" applyFont="1" applyFill="1" applyBorder="1" applyAlignment="1">
      <alignment horizontal="center" vertical="center"/>
    </xf>
    <xf numFmtId="43" fontId="7" fillId="0" borderId="10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14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3" fontId="7" fillId="5" borderId="26" xfId="4" applyFont="1" applyFill="1" applyBorder="1" applyAlignment="1">
      <alignment horizontal="center" vertical="center"/>
    </xf>
    <xf numFmtId="43" fontId="7" fillId="6" borderId="26" xfId="4" applyFont="1" applyFill="1" applyBorder="1" applyAlignment="1">
      <alignment horizontal="center" vertical="center"/>
    </xf>
    <xf numFmtId="43" fontId="7" fillId="6" borderId="26" xfId="0" applyNumberFormat="1" applyFont="1" applyFill="1" applyBorder="1" applyAlignment="1">
      <alignment horizontal="center" vertical="center"/>
    </xf>
    <xf numFmtId="43" fontId="7" fillId="0" borderId="26" xfId="0" applyNumberFormat="1" applyFont="1" applyBorder="1" applyAlignment="1">
      <alignment horizontal="center" vertical="center"/>
    </xf>
    <xf numFmtId="43" fontId="7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3" fontId="9" fillId="0" borderId="12" xfId="0" applyNumberFormat="1" applyFont="1" applyBorder="1" applyAlignment="1">
      <alignment horizontal="center" vertical="center"/>
    </xf>
    <xf numFmtId="43" fontId="9" fillId="0" borderId="12" xfId="4" applyFont="1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9" fillId="0" borderId="2" xfId="0" quotePrefix="1" applyFont="1" applyBorder="1" applyAlignment="1">
      <alignment horizontal="justify" vertical="center" wrapText="1"/>
    </xf>
    <xf numFmtId="43" fontId="9" fillId="0" borderId="0" xfId="4" applyFont="1" applyFill="1" applyBorder="1" applyAlignment="1">
      <alignment horizontal="center" vertical="center"/>
    </xf>
    <xf numFmtId="9" fontId="9" fillId="0" borderId="0" xfId="3" applyFont="1"/>
    <xf numFmtId="14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3" fontId="7" fillId="0" borderId="9" xfId="4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14" fontId="7" fillId="0" borderId="10" xfId="0" applyNumberFormat="1" applyFont="1" applyFill="1" applyBorder="1" applyAlignment="1">
      <alignment horizontal="center" vertical="center"/>
    </xf>
    <xf numFmtId="43" fontId="9" fillId="0" borderId="9" xfId="4" applyFont="1" applyBorder="1"/>
    <xf numFmtId="164" fontId="14" fillId="0" borderId="8" xfId="4" applyNumberFormat="1" applyFont="1" applyBorder="1"/>
    <xf numFmtId="0" fontId="14" fillId="0" borderId="8" xfId="0" applyFont="1" applyBorder="1"/>
    <xf numFmtId="165" fontId="9" fillId="0" borderId="0" xfId="0" applyNumberFormat="1" applyFont="1"/>
    <xf numFmtId="0" fontId="9" fillId="5" borderId="9" xfId="0" applyFont="1" applyFill="1" applyBorder="1"/>
    <xf numFmtId="164" fontId="9" fillId="5" borderId="9" xfId="0" applyNumberFormat="1" applyFont="1" applyFill="1" applyBorder="1" applyAlignment="1">
      <alignment horizontal="center"/>
    </xf>
    <xf numFmtId="12" fontId="9" fillId="5" borderId="9" xfId="0" applyNumberFormat="1" applyFont="1" applyFill="1" applyBorder="1" applyAlignment="1">
      <alignment horizontal="center"/>
    </xf>
    <xf numFmtId="0" fontId="9" fillId="5" borderId="10" xfId="0" applyFont="1" applyFill="1" applyBorder="1"/>
    <xf numFmtId="0" fontId="9" fillId="5" borderId="10" xfId="0" applyFont="1" applyFill="1" applyBorder="1" applyAlignment="1">
      <alignment horizontal="center"/>
    </xf>
    <xf numFmtId="12" fontId="9" fillId="5" borderId="10" xfId="0" applyNumberFormat="1" applyFont="1" applyFill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12" fontId="14" fillId="0" borderId="8" xfId="0" applyNumberFormat="1" applyFont="1" applyBorder="1" applyAlignment="1">
      <alignment horizontal="center"/>
    </xf>
    <xf numFmtId="0" fontId="14" fillId="0" borderId="7" xfId="0" applyFont="1" applyBorder="1"/>
    <xf numFmtId="164" fontId="14" fillId="0" borderId="7" xfId="0" applyNumberFormat="1" applyFont="1" applyBorder="1" applyAlignment="1">
      <alignment horizontal="center"/>
    </xf>
    <xf numFmtId="12" fontId="14" fillId="0" borderId="7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43" fontId="9" fillId="5" borderId="9" xfId="4" applyFont="1" applyFill="1" applyBorder="1" applyAlignment="1">
      <alignment horizontal="center"/>
    </xf>
    <xf numFmtId="43" fontId="9" fillId="5" borderId="10" xfId="4" applyFont="1" applyFill="1" applyBorder="1" applyAlignment="1">
      <alignment horizontal="center"/>
    </xf>
    <xf numFmtId="14" fontId="9" fillId="5" borderId="9" xfId="0" applyNumberFormat="1" applyFont="1" applyFill="1" applyBorder="1" applyAlignment="1">
      <alignment horizontal="center"/>
    </xf>
    <xf numFmtId="14" fontId="9" fillId="5" borderId="10" xfId="0" applyNumberFormat="1" applyFont="1" applyFill="1" applyBorder="1" applyAlignment="1">
      <alignment horizontal="center"/>
    </xf>
    <xf numFmtId="43" fontId="14" fillId="0" borderId="8" xfId="4" applyFont="1" applyBorder="1" applyAlignment="1">
      <alignment horizontal="center"/>
    </xf>
    <xf numFmtId="43" fontId="14" fillId="0" borderId="7" xfId="4" applyFont="1" applyBorder="1" applyAlignment="1">
      <alignment horizontal="center"/>
    </xf>
    <xf numFmtId="14" fontId="14" fillId="0" borderId="8" xfId="0" applyNumberFormat="1" applyFont="1" applyBorder="1" applyAlignment="1">
      <alignment horizontal="center"/>
    </xf>
    <xf numFmtId="14" fontId="14" fillId="0" borderId="7" xfId="0" applyNumberFormat="1" applyFont="1" applyBorder="1" applyAlignment="1">
      <alignment horizontal="center"/>
    </xf>
    <xf numFmtId="0" fontId="9" fillId="7" borderId="9" xfId="0" applyFont="1" applyFill="1" applyBorder="1"/>
    <xf numFmtId="14" fontId="9" fillId="7" borderId="9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12" fontId="9" fillId="7" borderId="9" xfId="0" applyNumberFormat="1" applyFont="1" applyFill="1" applyBorder="1" applyAlignment="1">
      <alignment horizontal="center"/>
    </xf>
    <xf numFmtId="0" fontId="9" fillId="8" borderId="9" xfId="0" applyFont="1" applyFill="1" applyBorder="1"/>
    <xf numFmtId="14" fontId="9" fillId="8" borderId="9" xfId="0" applyNumberFormat="1" applyFont="1" applyFill="1" applyBorder="1" applyAlignment="1">
      <alignment horizontal="center"/>
    </xf>
    <xf numFmtId="164" fontId="9" fillId="8" borderId="9" xfId="0" applyNumberFormat="1" applyFont="1" applyFill="1" applyBorder="1" applyAlignment="1">
      <alignment horizontal="center"/>
    </xf>
    <xf numFmtId="12" fontId="9" fillId="8" borderId="9" xfId="0" applyNumberFormat="1" applyFont="1" applyFill="1" applyBorder="1" applyAlignment="1">
      <alignment horizontal="center"/>
    </xf>
    <xf numFmtId="43" fontId="9" fillId="8" borderId="9" xfId="4" applyFont="1" applyFill="1" applyBorder="1" applyAlignment="1">
      <alignment horizontal="center"/>
    </xf>
    <xf numFmtId="0" fontId="9" fillId="8" borderId="10" xfId="0" applyFont="1" applyFill="1" applyBorder="1"/>
    <xf numFmtId="14" fontId="9" fillId="8" borderId="10" xfId="0" applyNumberFormat="1" applyFont="1" applyFill="1" applyBorder="1" applyAlignment="1">
      <alignment horizontal="center"/>
    </xf>
    <xf numFmtId="164" fontId="9" fillId="8" borderId="10" xfId="0" applyNumberFormat="1" applyFont="1" applyFill="1" applyBorder="1" applyAlignment="1">
      <alignment horizontal="center"/>
    </xf>
    <xf numFmtId="0" fontId="9" fillId="9" borderId="9" xfId="0" applyFont="1" applyFill="1" applyBorder="1"/>
    <xf numFmtId="14" fontId="9" fillId="9" borderId="9" xfId="0" applyNumberFormat="1" applyFont="1" applyFill="1" applyBorder="1" applyAlignment="1">
      <alignment horizontal="center"/>
    </xf>
    <xf numFmtId="164" fontId="9" fillId="9" borderId="9" xfId="0" applyNumberFormat="1" applyFont="1" applyFill="1" applyBorder="1" applyAlignment="1">
      <alignment horizontal="center"/>
    </xf>
    <xf numFmtId="12" fontId="9" fillId="9" borderId="9" xfId="0" applyNumberFormat="1" applyFont="1" applyFill="1" applyBorder="1" applyAlignment="1">
      <alignment horizontal="center"/>
    </xf>
    <xf numFmtId="43" fontId="9" fillId="0" borderId="9" xfId="4" applyFont="1" applyFill="1" applyBorder="1" applyAlignment="1">
      <alignment horizontal="center"/>
    </xf>
    <xf numFmtId="43" fontId="9" fillId="0" borderId="9" xfId="0" applyNumberFormat="1" applyFont="1" applyBorder="1"/>
    <xf numFmtId="0" fontId="15" fillId="0" borderId="0" xfId="0" applyFont="1"/>
    <xf numFmtId="49" fontId="16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49" fontId="16" fillId="0" borderId="0" xfId="0" applyNumberFormat="1" applyFont="1" applyFill="1" applyBorder="1"/>
    <xf numFmtId="43" fontId="15" fillId="0" borderId="0" xfId="4" applyFont="1" applyFill="1" applyBorder="1"/>
    <xf numFmtId="49" fontId="16" fillId="0" borderId="10" xfId="0" applyNumberFormat="1" applyFont="1" applyFill="1" applyBorder="1" applyAlignment="1">
      <alignment horizontal="center"/>
    </xf>
    <xf numFmtId="49" fontId="16" fillId="0" borderId="10" xfId="0" applyNumberFormat="1" applyFont="1" applyFill="1" applyBorder="1" applyAlignment="1">
      <alignment horizontal="center" wrapText="1"/>
    </xf>
    <xf numFmtId="43" fontId="16" fillId="0" borderId="10" xfId="4" applyFont="1" applyFill="1" applyBorder="1" applyAlignment="1">
      <alignment horizontal="center"/>
    </xf>
    <xf numFmtId="166" fontId="15" fillId="0" borderId="10" xfId="0" applyNumberFormat="1" applyFont="1" applyFill="1" applyBorder="1" applyAlignment="1">
      <alignment horizontal="center"/>
    </xf>
    <xf numFmtId="49" fontId="15" fillId="0" borderId="10" xfId="0" applyNumberFormat="1" applyFont="1" applyFill="1" applyBorder="1" applyAlignment="1">
      <alignment horizontal="center"/>
    </xf>
    <xf numFmtId="49" fontId="15" fillId="0" borderId="10" xfId="0" applyNumberFormat="1" applyFont="1" applyFill="1" applyBorder="1"/>
    <xf numFmtId="43" fontId="15" fillId="0" borderId="10" xfId="4" applyFont="1" applyFill="1" applyBorder="1" applyAlignment="1">
      <alignment horizontal="right"/>
    </xf>
    <xf numFmtId="166" fontId="15" fillId="0" borderId="0" xfId="0" applyNumberFormat="1" applyFont="1"/>
    <xf numFmtId="166" fontId="15" fillId="0" borderId="7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49" fontId="15" fillId="0" borderId="7" xfId="0" applyNumberFormat="1" applyFont="1" applyFill="1" applyBorder="1"/>
    <xf numFmtId="43" fontId="15" fillId="0" borderId="7" xfId="4" applyFont="1" applyFill="1" applyBorder="1" applyAlignment="1">
      <alignment horizontal="right"/>
    </xf>
    <xf numFmtId="166" fontId="15" fillId="0" borderId="8" xfId="0" applyNumberFormat="1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49" fontId="15" fillId="0" borderId="8" xfId="0" applyNumberFormat="1" applyFont="1" applyFill="1" applyBorder="1"/>
    <xf numFmtId="43" fontId="15" fillId="0" borderId="8" xfId="4" applyFont="1" applyFill="1" applyBorder="1" applyAlignment="1">
      <alignment horizontal="right"/>
    </xf>
    <xf numFmtId="49" fontId="15" fillId="0" borderId="4" xfId="0" applyNumberFormat="1" applyFont="1" applyFill="1" applyBorder="1" applyAlignment="1">
      <alignment horizontal="center"/>
    </xf>
    <xf numFmtId="49" fontId="15" fillId="0" borderId="19" xfId="0" applyNumberFormat="1" applyFont="1" applyFill="1" applyBorder="1" applyAlignment="1">
      <alignment horizontal="center"/>
    </xf>
    <xf numFmtId="43" fontId="15" fillId="0" borderId="17" xfId="4" applyFont="1" applyFill="1" applyBorder="1" applyAlignment="1">
      <alignment horizontal="right"/>
    </xf>
    <xf numFmtId="43" fontId="15" fillId="0" borderId="24" xfId="4" applyFont="1" applyFill="1" applyBorder="1" applyAlignment="1">
      <alignment horizontal="right"/>
    </xf>
    <xf numFmtId="43" fontId="15" fillId="0" borderId="23" xfId="4" applyFont="1" applyFill="1" applyBorder="1" applyAlignment="1">
      <alignment horizontal="right"/>
    </xf>
    <xf numFmtId="0" fontId="17" fillId="0" borderId="0" xfId="0" applyFont="1"/>
    <xf numFmtId="0" fontId="15" fillId="0" borderId="9" xfId="0" applyFont="1" applyFill="1" applyBorder="1" applyAlignment="1">
      <alignment horizontal="center"/>
    </xf>
    <xf numFmtId="0" fontId="15" fillId="0" borderId="9" xfId="0" applyFont="1" applyFill="1" applyBorder="1"/>
    <xf numFmtId="43" fontId="16" fillId="0" borderId="9" xfId="4" applyFont="1" applyFill="1" applyBorder="1" applyAlignment="1">
      <alignment horizontal="right"/>
    </xf>
    <xf numFmtId="49" fontId="15" fillId="0" borderId="10" xfId="0" applyNumberFormat="1" applyFont="1" applyBorder="1" applyAlignment="1">
      <alignment horizontal="center"/>
    </xf>
    <xf numFmtId="49" fontId="15" fillId="0" borderId="10" xfId="0" applyNumberFormat="1" applyFont="1" applyBorder="1"/>
    <xf numFmtId="43" fontId="15" fillId="0" borderId="10" xfId="4" applyFont="1" applyBorder="1" applyAlignment="1">
      <alignment horizontal="right"/>
    </xf>
    <xf numFmtId="49" fontId="15" fillId="0" borderId="8" xfId="0" applyNumberFormat="1" applyFont="1" applyBorder="1" applyAlignment="1">
      <alignment horizontal="center"/>
    </xf>
    <xf numFmtId="49" fontId="15" fillId="0" borderId="8" xfId="0" applyNumberFormat="1" applyFont="1" applyBorder="1"/>
    <xf numFmtId="43" fontId="15" fillId="0" borderId="8" xfId="4" applyFont="1" applyBorder="1" applyAlignment="1">
      <alignment horizontal="right"/>
    </xf>
    <xf numFmtId="49" fontId="15" fillId="0" borderId="7" xfId="0" applyNumberFormat="1" applyFont="1" applyBorder="1" applyAlignment="1">
      <alignment horizontal="center"/>
    </xf>
    <xf numFmtId="49" fontId="15" fillId="0" borderId="7" xfId="0" applyNumberFormat="1" applyFont="1" applyBorder="1"/>
    <xf numFmtId="43" fontId="15" fillId="0" borderId="7" xfId="4" applyFont="1" applyBorder="1" applyAlignment="1">
      <alignment horizontal="right"/>
    </xf>
    <xf numFmtId="0" fontId="15" fillId="0" borderId="0" xfId="0" applyFont="1" applyAlignment="1">
      <alignment horizontal="center"/>
    </xf>
    <xf numFmtId="43" fontId="15" fillId="0" borderId="0" xfId="4" applyFont="1"/>
    <xf numFmtId="49" fontId="16" fillId="0" borderId="13" xfId="0" applyNumberFormat="1" applyFont="1" applyFill="1" applyBorder="1" applyAlignment="1">
      <alignment horizontal="left"/>
    </xf>
    <xf numFmtId="164" fontId="9" fillId="0" borderId="0" xfId="0" applyNumberFormat="1" applyFont="1"/>
    <xf numFmtId="14" fontId="10" fillId="0" borderId="0" xfId="0" applyNumberFormat="1" applyFont="1"/>
    <xf numFmtId="43" fontId="6" fillId="0" borderId="22" xfId="4" applyFont="1" applyBorder="1"/>
    <xf numFmtId="0" fontId="6" fillId="0" borderId="1" xfId="0" applyFont="1" applyBorder="1"/>
    <xf numFmtId="0" fontId="6" fillId="0" borderId="9" xfId="0" applyFont="1" applyBorder="1"/>
    <xf numFmtId="43" fontId="6" fillId="0" borderId="0" xfId="4" applyFont="1"/>
    <xf numFmtId="0" fontId="6" fillId="0" borderId="31" xfId="0" applyFont="1" applyBorder="1"/>
    <xf numFmtId="0" fontId="6" fillId="0" borderId="29" xfId="0" applyFont="1" applyBorder="1"/>
    <xf numFmtId="43" fontId="6" fillId="0" borderId="16" xfId="0" applyNumberFormat="1" applyFont="1" applyBorder="1"/>
    <xf numFmtId="43" fontId="6" fillId="0" borderId="30" xfId="4" applyFont="1" applyBorder="1"/>
    <xf numFmtId="14" fontId="6" fillId="3" borderId="22" xfId="0" applyNumberFormat="1" applyFont="1" applyFill="1" applyBorder="1" applyAlignment="1">
      <alignment horizontal="center" vertical="center"/>
    </xf>
    <xf numFmtId="43" fontId="6" fillId="0" borderId="25" xfId="4" applyFont="1" applyBorder="1"/>
    <xf numFmtId="0" fontId="6" fillId="0" borderId="3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/>
    </xf>
    <xf numFmtId="14" fontId="6" fillId="0" borderId="3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0" borderId="22" xfId="4" applyFont="1" applyFill="1" applyBorder="1" applyAlignment="1">
      <alignment horizontal="center" vertical="center"/>
    </xf>
    <xf numFmtId="9" fontId="8" fillId="0" borderId="22" xfId="4" applyNumberFormat="1" applyFont="1" applyBorder="1" applyAlignment="1">
      <alignment horizontal="center" vertical="center"/>
    </xf>
    <xf numFmtId="0" fontId="9" fillId="7" borderId="0" xfId="0" applyFont="1" applyFill="1"/>
    <xf numFmtId="43" fontId="9" fillId="7" borderId="9" xfId="4" applyFont="1" applyFill="1" applyBorder="1" applyAlignment="1">
      <alignment horizontal="center"/>
    </xf>
    <xf numFmtId="43" fontId="9" fillId="7" borderId="9" xfId="0" applyNumberFormat="1" applyFont="1" applyFill="1" applyBorder="1"/>
    <xf numFmtId="43" fontId="7" fillId="0" borderId="9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top"/>
    </xf>
    <xf numFmtId="0" fontId="8" fillId="0" borderId="9" xfId="0" applyFont="1" applyBorder="1" applyAlignment="1">
      <alignment horizontal="center" vertical="center"/>
    </xf>
    <xf numFmtId="0" fontId="8" fillId="0" borderId="0" xfId="0" applyFont="1"/>
    <xf numFmtId="0" fontId="18" fillId="0" borderId="0" xfId="0" applyFont="1"/>
    <xf numFmtId="4" fontId="8" fillId="0" borderId="0" xfId="0" applyNumberFormat="1" applyFont="1"/>
    <xf numFmtId="0" fontId="8" fillId="0" borderId="2" xfId="0" applyFont="1" applyBorder="1"/>
    <xf numFmtId="4" fontId="8" fillId="0" borderId="22" xfId="0" applyNumberFormat="1" applyFont="1" applyBorder="1"/>
    <xf numFmtId="0" fontId="8" fillId="0" borderId="0" xfId="0" quotePrefix="1" applyFont="1"/>
    <xf numFmtId="4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2" fontId="8" fillId="0" borderId="9" xfId="0" applyNumberFormat="1" applyFont="1" applyBorder="1" applyAlignment="1">
      <alignment horizontal="center"/>
    </xf>
    <xf numFmtId="4" fontId="8" fillId="0" borderId="9" xfId="0" applyNumberFormat="1" applyFont="1" applyBorder="1"/>
    <xf numFmtId="3" fontId="8" fillId="0" borderId="9" xfId="0" applyNumberFormat="1" applyFont="1" applyBorder="1"/>
    <xf numFmtId="3" fontId="8" fillId="0" borderId="9" xfId="0" applyNumberFormat="1" applyFont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43" fontId="8" fillId="0" borderId="9" xfId="4" applyFont="1" applyBorder="1"/>
    <xf numFmtId="2" fontId="19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justify" vertical="center"/>
    </xf>
    <xf numFmtId="0" fontId="8" fillId="10" borderId="9" xfId="0" applyFont="1" applyFill="1" applyBorder="1" applyAlignment="1">
      <alignment horizontal="center"/>
    </xf>
    <xf numFmtId="0" fontId="20" fillId="0" borderId="9" xfId="0" applyFont="1" applyBorder="1"/>
    <xf numFmtId="43" fontId="20" fillId="0" borderId="9" xfId="4" applyFont="1" applyBorder="1"/>
    <xf numFmtId="0" fontId="7" fillId="0" borderId="0" xfId="0" applyFont="1" applyAlignment="1"/>
    <xf numFmtId="164" fontId="8" fillId="0" borderId="9" xfId="4" applyNumberFormat="1" applyFont="1" applyBorder="1"/>
    <xf numFmtId="0" fontId="8" fillId="0" borderId="10" xfId="0" applyFont="1" applyBorder="1" applyAlignment="1">
      <alignment horizontal="center"/>
    </xf>
    <xf numFmtId="43" fontId="9" fillId="0" borderId="9" xfId="4" applyFont="1" applyBorder="1" applyAlignment="1">
      <alignment horizontal="center"/>
    </xf>
    <xf numFmtId="43" fontId="9" fillId="0" borderId="0" xfId="4" applyFont="1"/>
    <xf numFmtId="0" fontId="9" fillId="0" borderId="9" xfId="0" applyFont="1" applyBorder="1" applyAlignment="1">
      <alignment horizontal="left"/>
    </xf>
    <xf numFmtId="0" fontId="9" fillId="0" borderId="9" xfId="0" quotePrefix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2" xfId="0" quotePrefix="1" applyFont="1" applyBorder="1" applyAlignment="1">
      <alignment horizontal="left" vertical="center" wrapText="1"/>
    </xf>
    <xf numFmtId="0" fontId="9" fillId="0" borderId="12" xfId="0" quotePrefix="1" applyFont="1" applyBorder="1" applyAlignment="1">
      <alignment horizontal="left" vertical="center" wrapText="1"/>
    </xf>
    <xf numFmtId="0" fontId="9" fillId="0" borderId="22" xfId="0" quotePrefix="1" applyFont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21" fillId="11" borderId="0" xfId="0" applyFont="1" applyFill="1" applyAlignment="1">
      <alignment horizontal="center"/>
    </xf>
    <xf numFmtId="0" fontId="0" fillId="11" borderId="0" xfId="0" applyFill="1" applyAlignment="1"/>
    <xf numFmtId="0" fontId="23" fillId="11" borderId="0" xfId="0" applyFont="1" applyFill="1" applyBorder="1" applyAlignment="1">
      <alignment horizontal="center" vertical="center"/>
    </xf>
    <xf numFmtId="0" fontId="24" fillId="11" borderId="0" xfId="0" applyFont="1" applyFill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</cellXfs>
  <cellStyles count="9">
    <cellStyle name="Milliers" xfId="4" builtinId="3"/>
    <cellStyle name="Milliers 3" xfId="2"/>
    <cellStyle name="Normal" xfId="0" builtinId="0"/>
    <cellStyle name="Normal 2" xfId="5"/>
    <cellStyle name="Normal 3" xfId="1"/>
    <cellStyle name="Normal 4" xfId="6"/>
    <cellStyle name="Normal 5" xfId="7"/>
    <cellStyle name="Normal 6" xfId="8"/>
    <cellStyle name="Pourcentag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85</xdr:row>
      <xdr:rowOff>0</xdr:rowOff>
    </xdr:from>
    <xdr:to>
      <xdr:col>7</xdr:col>
      <xdr:colOff>9525</xdr:colOff>
      <xdr:row>85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DAA3E3D-27A9-431E-AB62-BD0F40F1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0225" y="15059025"/>
          <a:ext cx="847725" cy="190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321945</xdr:colOff>
      <xdr:row>0</xdr:row>
      <xdr:rowOff>160020</xdr:rowOff>
    </xdr:from>
    <xdr:to>
      <xdr:col>9</xdr:col>
      <xdr:colOff>674608</xdr:colOff>
      <xdr:row>7</xdr:row>
      <xdr:rowOff>133350</xdr:rowOff>
    </xdr:to>
    <xdr:pic>
      <xdr:nvPicPr>
        <xdr:cNvPr id="3" name="Image 2" descr="https://www.lecoindesentrepreneurs.fr/wp-content/uploads/2013/06/calendrier-IS.p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1120" y="160020"/>
          <a:ext cx="4848463" cy="1373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sqref="A1:F1"/>
    </sheetView>
  </sheetViews>
  <sheetFormatPr baseColWidth="10" defaultColWidth="11" defaultRowHeight="15.6" x14ac:dyDescent="0.3"/>
  <cols>
    <col min="1" max="1" width="8.19921875" style="163" customWidth="1"/>
    <col min="2" max="2" width="10.8984375" style="163" customWidth="1"/>
    <col min="3" max="3" width="7" style="163" customWidth="1"/>
    <col min="4" max="4" width="36.5" style="122" customWidth="1"/>
    <col min="5" max="5" width="12.8984375" style="164" customWidth="1"/>
    <col min="6" max="6" width="15.19921875" style="164" customWidth="1"/>
    <col min="7" max="16384" width="11" style="122"/>
  </cols>
  <sheetData>
    <row r="1" spans="1:7" ht="21" x14ac:dyDescent="0.4">
      <c r="A1" s="252" t="s">
        <v>150</v>
      </c>
      <c r="B1" s="253"/>
      <c r="C1" s="253"/>
      <c r="D1" s="253"/>
      <c r="E1" s="253"/>
      <c r="F1" s="253"/>
    </row>
    <row r="2" spans="1:7" x14ac:dyDescent="0.3">
      <c r="A2" s="165" t="s">
        <v>151</v>
      </c>
    </row>
    <row r="3" spans="1:7" x14ac:dyDescent="0.3">
      <c r="A3" s="123" t="s">
        <v>149</v>
      </c>
      <c r="B3" s="124"/>
      <c r="C3" s="124"/>
      <c r="E3" s="122"/>
      <c r="F3" s="122"/>
    </row>
    <row r="4" spans="1:7" x14ac:dyDescent="0.3">
      <c r="A4" s="122"/>
      <c r="B4" s="125" t="s">
        <v>152</v>
      </c>
      <c r="C4" s="126"/>
      <c r="D4" s="127" t="s">
        <v>153</v>
      </c>
      <c r="E4" s="128"/>
      <c r="F4" s="128"/>
    </row>
    <row r="5" spans="1:7" x14ac:dyDescent="0.3">
      <c r="A5" s="129" t="s">
        <v>154</v>
      </c>
      <c r="B5" s="129" t="s">
        <v>155</v>
      </c>
      <c r="C5" s="129" t="s">
        <v>156</v>
      </c>
      <c r="D5" s="130" t="s">
        <v>157</v>
      </c>
      <c r="E5" s="131" t="s">
        <v>158</v>
      </c>
      <c r="F5" s="131" t="s">
        <v>159</v>
      </c>
    </row>
    <row r="6" spans="1:7" x14ac:dyDescent="0.3">
      <c r="A6" s="132">
        <v>43465</v>
      </c>
      <c r="B6" s="133" t="s">
        <v>160</v>
      </c>
      <c r="C6" s="133" t="s">
        <v>161</v>
      </c>
      <c r="D6" s="134" t="s">
        <v>163</v>
      </c>
      <c r="E6" s="135">
        <v>60.37</v>
      </c>
      <c r="F6" s="135"/>
      <c r="G6" s="136"/>
    </row>
    <row r="7" spans="1:7" x14ac:dyDescent="0.3">
      <c r="A7" s="137"/>
      <c r="B7" s="138" t="s">
        <v>162</v>
      </c>
      <c r="C7" s="138" t="s">
        <v>161</v>
      </c>
      <c r="D7" s="139" t="s">
        <v>163</v>
      </c>
      <c r="E7" s="140"/>
      <c r="F7" s="140">
        <v>60.37</v>
      </c>
      <c r="G7" s="136"/>
    </row>
    <row r="8" spans="1:7" x14ac:dyDescent="0.3">
      <c r="A8" s="132">
        <v>43465</v>
      </c>
      <c r="B8" s="133" t="s">
        <v>164</v>
      </c>
      <c r="C8" s="133" t="s">
        <v>165</v>
      </c>
      <c r="D8" s="134" t="s">
        <v>166</v>
      </c>
      <c r="E8" s="135">
        <f>SUM(F9:F13)</f>
        <v>14681.314722222221</v>
      </c>
      <c r="F8" s="135"/>
      <c r="G8" s="136"/>
    </row>
    <row r="9" spans="1:7" x14ac:dyDescent="0.3">
      <c r="A9" s="141"/>
      <c r="B9" s="142" t="s">
        <v>59</v>
      </c>
      <c r="C9" s="142" t="s">
        <v>165</v>
      </c>
      <c r="D9" s="143" t="s">
        <v>166</v>
      </c>
      <c r="E9" s="144"/>
      <c r="F9" s="144">
        <f>4071.22-F22</f>
        <v>3970.004722222222</v>
      </c>
      <c r="G9" s="136"/>
    </row>
    <row r="10" spans="1:7" x14ac:dyDescent="0.3">
      <c r="A10" s="141"/>
      <c r="B10" s="142" t="s">
        <v>60</v>
      </c>
      <c r="C10" s="142" t="s">
        <v>165</v>
      </c>
      <c r="D10" s="143" t="s">
        <v>166</v>
      </c>
      <c r="E10" s="144"/>
      <c r="F10" s="144">
        <v>4549</v>
      </c>
      <c r="G10" s="136"/>
    </row>
    <row r="11" spans="1:7" x14ac:dyDescent="0.3">
      <c r="A11" s="141"/>
      <c r="B11" s="142" t="s">
        <v>61</v>
      </c>
      <c r="C11" s="142" t="s">
        <v>165</v>
      </c>
      <c r="D11" s="143" t="s">
        <v>166</v>
      </c>
      <c r="E11" s="144"/>
      <c r="F11" s="144">
        <v>4289.3100000000004</v>
      </c>
      <c r="G11" s="136"/>
    </row>
    <row r="12" spans="1:7" x14ac:dyDescent="0.3">
      <c r="A12" s="141"/>
      <c r="B12" s="142" t="s">
        <v>62</v>
      </c>
      <c r="C12" s="142" t="s">
        <v>165</v>
      </c>
      <c r="D12" s="143" t="s">
        <v>166</v>
      </c>
      <c r="E12" s="144"/>
      <c r="F12" s="144">
        <v>913</v>
      </c>
      <c r="G12" s="136"/>
    </row>
    <row r="13" spans="1:7" x14ac:dyDescent="0.3">
      <c r="A13" s="137"/>
      <c r="B13" s="138" t="s">
        <v>62</v>
      </c>
      <c r="C13" s="138" t="s">
        <v>165</v>
      </c>
      <c r="D13" s="139" t="s">
        <v>166</v>
      </c>
      <c r="E13" s="140"/>
      <c r="F13" s="140">
        <v>960</v>
      </c>
      <c r="G13" s="136"/>
    </row>
    <row r="14" spans="1:7" x14ac:dyDescent="0.3">
      <c r="A14" s="132">
        <v>43465</v>
      </c>
      <c r="B14" s="133" t="s">
        <v>111</v>
      </c>
      <c r="C14" s="133" t="s">
        <v>167</v>
      </c>
      <c r="D14" s="134" t="s">
        <v>168</v>
      </c>
      <c r="E14" s="135">
        <v>150</v>
      </c>
      <c r="F14" s="135"/>
      <c r="G14" s="136"/>
    </row>
    <row r="15" spans="1:7" x14ac:dyDescent="0.3">
      <c r="A15" s="141"/>
      <c r="B15" s="142" t="s">
        <v>169</v>
      </c>
      <c r="C15" s="142" t="s">
        <v>167</v>
      </c>
      <c r="D15" s="143" t="s">
        <v>170</v>
      </c>
      <c r="E15" s="144">
        <f>2900-150</f>
        <v>2750</v>
      </c>
      <c r="F15" s="144"/>
      <c r="G15" s="136"/>
    </row>
    <row r="16" spans="1:7" x14ac:dyDescent="0.3">
      <c r="A16" s="137"/>
      <c r="B16" s="138" t="s">
        <v>64</v>
      </c>
      <c r="C16" s="138" t="s">
        <v>167</v>
      </c>
      <c r="D16" s="139" t="s">
        <v>171</v>
      </c>
      <c r="E16" s="140"/>
      <c r="F16" s="140">
        <v>2900</v>
      </c>
      <c r="G16" s="136"/>
    </row>
    <row r="17" spans="1:8" x14ac:dyDescent="0.3">
      <c r="A17" s="132">
        <v>43465</v>
      </c>
      <c r="B17" s="133" t="s">
        <v>85</v>
      </c>
      <c r="C17" s="133" t="s">
        <v>172</v>
      </c>
      <c r="D17" s="134" t="s">
        <v>173</v>
      </c>
      <c r="E17" s="135">
        <v>30</v>
      </c>
      <c r="F17" s="135"/>
      <c r="G17" s="136"/>
    </row>
    <row r="18" spans="1:8" x14ac:dyDescent="0.3">
      <c r="A18" s="137"/>
      <c r="B18" s="138" t="s">
        <v>63</v>
      </c>
      <c r="C18" s="138" t="s">
        <v>172</v>
      </c>
      <c r="D18" s="139" t="s">
        <v>173</v>
      </c>
      <c r="E18" s="140"/>
      <c r="F18" s="140">
        <v>30</v>
      </c>
      <c r="G18" s="136"/>
    </row>
    <row r="19" spans="1:8" x14ac:dyDescent="0.3">
      <c r="A19" s="132">
        <v>43465</v>
      </c>
      <c r="B19" s="133" t="s">
        <v>108</v>
      </c>
      <c r="C19" s="133" t="s">
        <v>174</v>
      </c>
      <c r="D19" s="134" t="s">
        <v>175</v>
      </c>
      <c r="E19" s="135">
        <f>150*0.833333333333333</f>
        <v>124.99999999999996</v>
      </c>
      <c r="F19" s="135"/>
      <c r="G19" s="136"/>
    </row>
    <row r="20" spans="1:8" x14ac:dyDescent="0.3">
      <c r="A20" s="137"/>
      <c r="B20" s="138" t="s">
        <v>111</v>
      </c>
      <c r="C20" s="138" t="s">
        <v>174</v>
      </c>
      <c r="D20" s="139" t="s">
        <v>175</v>
      </c>
      <c r="E20" s="140"/>
      <c r="F20" s="140">
        <v>125</v>
      </c>
      <c r="G20" s="136"/>
    </row>
    <row r="21" spans="1:8" x14ac:dyDescent="0.3">
      <c r="A21" s="132">
        <v>43465</v>
      </c>
      <c r="B21" s="142" t="s">
        <v>164</v>
      </c>
      <c r="C21" s="145" t="s">
        <v>176</v>
      </c>
      <c r="D21" s="143" t="s">
        <v>177</v>
      </c>
      <c r="E21" s="135">
        <f>2750*0.25*0.147222222222222</f>
        <v>101.21527777777763</v>
      </c>
      <c r="F21" s="144"/>
      <c r="G21" s="136"/>
    </row>
    <row r="22" spans="1:8" x14ac:dyDescent="0.3">
      <c r="A22" s="137"/>
      <c r="B22" s="142" t="s">
        <v>80</v>
      </c>
      <c r="C22" s="146" t="s">
        <v>176</v>
      </c>
      <c r="D22" s="143" t="s">
        <v>178</v>
      </c>
      <c r="E22" s="147"/>
      <c r="F22" s="144">
        <f>+E21</f>
        <v>101.21527777777763</v>
      </c>
      <c r="G22" s="136"/>
    </row>
    <row r="23" spans="1:8" x14ac:dyDescent="0.3">
      <c r="A23" s="132">
        <v>43465</v>
      </c>
      <c r="B23" s="133" t="s">
        <v>179</v>
      </c>
      <c r="C23" s="142" t="s">
        <v>180</v>
      </c>
      <c r="D23" s="134" t="s">
        <v>181</v>
      </c>
      <c r="E23" s="148">
        <f>2750*31.25%*0.166666666666667-E21</f>
        <v>42.013888888889312</v>
      </c>
      <c r="F23" s="135"/>
      <c r="G23" s="136"/>
    </row>
    <row r="24" spans="1:8" x14ac:dyDescent="0.3">
      <c r="A24" s="137"/>
      <c r="B24" s="138" t="s">
        <v>104</v>
      </c>
      <c r="C24" s="138" t="s">
        <v>180</v>
      </c>
      <c r="D24" s="139"/>
      <c r="E24" s="149"/>
      <c r="F24" s="140">
        <f>+E23</f>
        <v>42.013888888889312</v>
      </c>
      <c r="G24" s="136"/>
    </row>
    <row r="25" spans="1:8" x14ac:dyDescent="0.3">
      <c r="A25" s="132">
        <v>43465</v>
      </c>
      <c r="B25" s="142" t="s">
        <v>79</v>
      </c>
      <c r="C25" s="142" t="s">
        <v>182</v>
      </c>
      <c r="D25" s="143" t="s">
        <v>183</v>
      </c>
      <c r="E25" s="144">
        <v>19000</v>
      </c>
      <c r="F25" s="144"/>
      <c r="G25" s="136"/>
      <c r="H25" s="150" t="s">
        <v>184</v>
      </c>
    </row>
    <row r="26" spans="1:8" x14ac:dyDescent="0.3">
      <c r="A26" s="137"/>
      <c r="B26" s="138" t="s">
        <v>87</v>
      </c>
      <c r="C26" s="138" t="s">
        <v>182</v>
      </c>
      <c r="D26" s="139" t="s">
        <v>183</v>
      </c>
      <c r="E26" s="140"/>
      <c r="F26" s="140">
        <v>19000</v>
      </c>
      <c r="G26" s="136"/>
    </row>
    <row r="27" spans="1:8" x14ac:dyDescent="0.3">
      <c r="A27" s="132">
        <v>43465</v>
      </c>
      <c r="B27" s="142" t="s">
        <v>164</v>
      </c>
      <c r="C27" s="142" t="s">
        <v>185</v>
      </c>
      <c r="D27" s="143" t="s">
        <v>186</v>
      </c>
      <c r="E27" s="144">
        <f>56*0.25*52.7777777777778</f>
        <v>738.88888888888914</v>
      </c>
      <c r="F27" s="144"/>
      <c r="G27" s="136"/>
    </row>
    <row r="28" spans="1:8" x14ac:dyDescent="0.3">
      <c r="A28" s="137"/>
      <c r="B28" s="138" t="s">
        <v>81</v>
      </c>
      <c r="C28" s="138" t="s">
        <v>185</v>
      </c>
      <c r="D28" s="139" t="s">
        <v>183</v>
      </c>
      <c r="E28" s="140"/>
      <c r="F28" s="140">
        <f>+E27</f>
        <v>738.88888888888914</v>
      </c>
      <c r="G28" s="136"/>
    </row>
    <row r="29" spans="1:8" x14ac:dyDescent="0.3">
      <c r="A29" s="132">
        <v>43465</v>
      </c>
      <c r="B29" s="133" t="s">
        <v>87</v>
      </c>
      <c r="C29" s="133" t="s">
        <v>187</v>
      </c>
      <c r="D29" s="134" t="s">
        <v>188</v>
      </c>
      <c r="E29" s="135">
        <v>12600</v>
      </c>
      <c r="F29" s="135"/>
      <c r="G29" s="136"/>
    </row>
    <row r="30" spans="1:8" x14ac:dyDescent="0.3">
      <c r="A30" s="141"/>
      <c r="B30" s="142" t="s">
        <v>118</v>
      </c>
      <c r="C30" s="142" t="s">
        <v>187</v>
      </c>
      <c r="D30" s="143" t="s">
        <v>188</v>
      </c>
      <c r="E30" s="144"/>
      <c r="F30" s="144">
        <v>10500</v>
      </c>
      <c r="G30" s="136"/>
    </row>
    <row r="31" spans="1:8" x14ac:dyDescent="0.3">
      <c r="A31" s="137"/>
      <c r="B31" s="138" t="s">
        <v>86</v>
      </c>
      <c r="C31" s="138" t="s">
        <v>187</v>
      </c>
      <c r="D31" s="139" t="s">
        <v>188</v>
      </c>
      <c r="E31" s="140"/>
      <c r="F31" s="140">
        <v>2100</v>
      </c>
      <c r="G31" s="136"/>
    </row>
    <row r="32" spans="1:8" x14ac:dyDescent="0.3">
      <c r="A32" s="132">
        <v>43465</v>
      </c>
      <c r="B32" s="133" t="s">
        <v>79</v>
      </c>
      <c r="C32" s="133" t="s">
        <v>189</v>
      </c>
      <c r="D32" s="134" t="s">
        <v>190</v>
      </c>
      <c r="E32" s="135"/>
      <c r="F32" s="135">
        <v>17800</v>
      </c>
      <c r="G32" s="136"/>
    </row>
    <row r="33" spans="1:7" x14ac:dyDescent="0.3">
      <c r="A33" s="141"/>
      <c r="B33" s="142" t="s">
        <v>81</v>
      </c>
      <c r="C33" s="142" t="s">
        <v>189</v>
      </c>
      <c r="D33" s="143" t="s">
        <v>190</v>
      </c>
      <c r="E33" s="144">
        <v>8739.31</v>
      </c>
      <c r="F33" s="144"/>
      <c r="G33" s="136"/>
    </row>
    <row r="34" spans="1:7" x14ac:dyDescent="0.3">
      <c r="A34" s="137"/>
      <c r="B34" s="138" t="s">
        <v>114</v>
      </c>
      <c r="C34" s="138" t="s">
        <v>189</v>
      </c>
      <c r="D34" s="139" t="s">
        <v>190</v>
      </c>
      <c r="E34" s="140">
        <v>9060.69</v>
      </c>
      <c r="F34" s="140"/>
      <c r="G34" s="136"/>
    </row>
    <row r="35" spans="1:7" x14ac:dyDescent="0.3">
      <c r="A35" s="132">
        <v>43465</v>
      </c>
      <c r="B35" s="133" t="s">
        <v>78</v>
      </c>
      <c r="C35" s="133" t="s">
        <v>191</v>
      </c>
      <c r="D35" s="134" t="s">
        <v>192</v>
      </c>
      <c r="E35" s="135">
        <v>4258.04</v>
      </c>
      <c r="F35" s="135"/>
      <c r="G35" s="136"/>
    </row>
    <row r="36" spans="1:7" x14ac:dyDescent="0.3">
      <c r="A36" s="141"/>
      <c r="B36" s="142" t="s">
        <v>63</v>
      </c>
      <c r="C36" s="142" t="s">
        <v>191</v>
      </c>
      <c r="D36" s="143" t="s">
        <v>192</v>
      </c>
      <c r="E36" s="144">
        <v>851.61</v>
      </c>
      <c r="F36" s="144"/>
      <c r="G36" s="136"/>
    </row>
    <row r="37" spans="1:7" x14ac:dyDescent="0.3">
      <c r="A37" s="141"/>
      <c r="B37" s="142" t="s">
        <v>117</v>
      </c>
      <c r="C37" s="142" t="s">
        <v>191</v>
      </c>
      <c r="D37" s="143" t="s">
        <v>192</v>
      </c>
      <c r="E37" s="144"/>
      <c r="F37" s="144">
        <v>4258.04</v>
      </c>
      <c r="G37" s="136"/>
    </row>
    <row r="38" spans="1:7" x14ac:dyDescent="0.3">
      <c r="A38" s="137"/>
      <c r="B38" s="138" t="s">
        <v>193</v>
      </c>
      <c r="C38" s="138" t="s">
        <v>191</v>
      </c>
      <c r="D38" s="139" t="s">
        <v>192</v>
      </c>
      <c r="E38" s="140"/>
      <c r="F38" s="140">
        <v>851.61</v>
      </c>
      <c r="G38" s="136"/>
    </row>
    <row r="39" spans="1:7" x14ac:dyDescent="0.3">
      <c r="A39" s="132">
        <v>43465</v>
      </c>
      <c r="B39" s="133" t="s">
        <v>66</v>
      </c>
      <c r="C39" s="133" t="s">
        <v>194</v>
      </c>
      <c r="D39" s="134" t="s">
        <v>195</v>
      </c>
      <c r="E39" s="135">
        <v>1240</v>
      </c>
      <c r="F39" s="135"/>
      <c r="G39" s="136"/>
    </row>
    <row r="40" spans="1:7" x14ac:dyDescent="0.3">
      <c r="A40" s="141"/>
      <c r="B40" s="142" t="s">
        <v>60</v>
      </c>
      <c r="C40" s="142" t="s">
        <v>194</v>
      </c>
      <c r="D40" s="143" t="s">
        <v>195</v>
      </c>
      <c r="E40" s="144"/>
      <c r="F40" s="144">
        <v>1240</v>
      </c>
      <c r="G40" s="136"/>
    </row>
    <row r="41" spans="1:7" x14ac:dyDescent="0.3">
      <c r="A41" s="132">
        <v>43465</v>
      </c>
      <c r="B41" s="133" t="s">
        <v>60</v>
      </c>
      <c r="C41" s="133" t="s">
        <v>57</v>
      </c>
      <c r="D41" s="134" t="s">
        <v>196</v>
      </c>
      <c r="E41" s="135">
        <v>3720</v>
      </c>
      <c r="F41" s="135"/>
      <c r="G41" s="136"/>
    </row>
    <row r="42" spans="1:7" x14ac:dyDescent="0.3">
      <c r="A42" s="137"/>
      <c r="B42" s="138" t="s">
        <v>58</v>
      </c>
      <c r="C42" s="138" t="s">
        <v>57</v>
      </c>
      <c r="D42" s="139" t="s">
        <v>196</v>
      </c>
      <c r="E42" s="140"/>
      <c r="F42" s="140">
        <v>3720</v>
      </c>
      <c r="G42" s="136"/>
    </row>
    <row r="43" spans="1:7" x14ac:dyDescent="0.3">
      <c r="A43" s="129"/>
      <c r="B43" s="129" t="s">
        <v>155</v>
      </c>
      <c r="C43" s="129" t="s">
        <v>156</v>
      </c>
      <c r="D43" s="130" t="s">
        <v>157</v>
      </c>
      <c r="E43" s="131" t="s">
        <v>158</v>
      </c>
      <c r="F43" s="131" t="s">
        <v>159</v>
      </c>
      <c r="G43" s="136"/>
    </row>
    <row r="44" spans="1:7" x14ac:dyDescent="0.3">
      <c r="A44" s="132">
        <v>43465</v>
      </c>
      <c r="B44" s="133" t="s">
        <v>73</v>
      </c>
      <c r="C44" s="133" t="s">
        <v>197</v>
      </c>
      <c r="D44" s="134" t="s">
        <v>198</v>
      </c>
      <c r="E44" s="135">
        <v>26783.59</v>
      </c>
      <c r="F44" s="135"/>
      <c r="G44" s="136"/>
    </row>
    <row r="45" spans="1:7" x14ac:dyDescent="0.3">
      <c r="A45" s="137"/>
      <c r="B45" s="138" t="s">
        <v>82</v>
      </c>
      <c r="C45" s="142" t="s">
        <v>197</v>
      </c>
      <c r="D45" s="139" t="s">
        <v>198</v>
      </c>
      <c r="E45" s="140"/>
      <c r="F45" s="140">
        <v>26783.59</v>
      </c>
      <c r="G45" s="136"/>
    </row>
    <row r="46" spans="1:7" x14ac:dyDescent="0.3">
      <c r="A46" s="132">
        <v>43465</v>
      </c>
      <c r="B46" s="133" t="s">
        <v>119</v>
      </c>
      <c r="C46" s="133" t="s">
        <v>199</v>
      </c>
      <c r="D46" s="134" t="s">
        <v>200</v>
      </c>
      <c r="E46" s="135"/>
      <c r="F46" s="135">
        <v>424.5</v>
      </c>
      <c r="G46" s="136"/>
    </row>
    <row r="47" spans="1:7" x14ac:dyDescent="0.3">
      <c r="A47" s="137"/>
      <c r="B47" s="138" t="s">
        <v>83</v>
      </c>
      <c r="C47" s="138" t="s">
        <v>199</v>
      </c>
      <c r="D47" s="139" t="s">
        <v>200</v>
      </c>
      <c r="E47" s="140">
        <v>424.5</v>
      </c>
      <c r="F47" s="140"/>
      <c r="G47" s="136"/>
    </row>
    <row r="48" spans="1:7" x14ac:dyDescent="0.3">
      <c r="A48" s="132">
        <v>43465</v>
      </c>
      <c r="B48" s="133" t="s">
        <v>82</v>
      </c>
      <c r="C48" s="133" t="s">
        <v>201</v>
      </c>
      <c r="D48" s="134" t="s">
        <v>202</v>
      </c>
      <c r="E48" s="135">
        <v>38478.160000000003</v>
      </c>
      <c r="F48" s="135"/>
      <c r="G48" s="136"/>
    </row>
    <row r="49" spans="1:7" x14ac:dyDescent="0.3">
      <c r="A49" s="141"/>
      <c r="B49" s="142" t="s">
        <v>73</v>
      </c>
      <c r="C49" s="138" t="s">
        <v>201</v>
      </c>
      <c r="D49" s="143" t="s">
        <v>203</v>
      </c>
      <c r="E49" s="144"/>
      <c r="F49" s="144">
        <v>38478.160000000003</v>
      </c>
      <c r="G49" s="136"/>
    </row>
    <row r="50" spans="1:7" x14ac:dyDescent="0.3">
      <c r="A50" s="132">
        <v>43465</v>
      </c>
      <c r="B50" s="133" t="s">
        <v>74</v>
      </c>
      <c r="C50" s="133" t="s">
        <v>204</v>
      </c>
      <c r="D50" s="134" t="s">
        <v>205</v>
      </c>
      <c r="E50" s="135">
        <v>1247</v>
      </c>
      <c r="F50" s="135"/>
      <c r="G50" s="136"/>
    </row>
    <row r="51" spans="1:7" x14ac:dyDescent="0.3">
      <c r="A51" s="137"/>
      <c r="B51" s="138" t="s">
        <v>83</v>
      </c>
      <c r="C51" s="138" t="s">
        <v>204</v>
      </c>
      <c r="D51" s="139" t="s">
        <v>205</v>
      </c>
      <c r="E51" s="140"/>
      <c r="F51" s="140">
        <v>1247</v>
      </c>
      <c r="G51" s="136"/>
    </row>
    <row r="52" spans="1:7" x14ac:dyDescent="0.3">
      <c r="A52" s="132">
        <v>43465</v>
      </c>
      <c r="B52" s="133" t="s">
        <v>206</v>
      </c>
      <c r="C52" s="133" t="s">
        <v>207</v>
      </c>
      <c r="D52" s="134" t="s">
        <v>208</v>
      </c>
      <c r="E52" s="135">
        <v>493.13</v>
      </c>
      <c r="F52" s="135"/>
      <c r="G52" s="136"/>
    </row>
    <row r="53" spans="1:7" x14ac:dyDescent="0.3">
      <c r="A53" s="137"/>
      <c r="B53" s="138" t="s">
        <v>75</v>
      </c>
      <c r="C53" s="138" t="s">
        <v>207</v>
      </c>
      <c r="D53" s="139" t="s">
        <v>208</v>
      </c>
      <c r="E53" s="140"/>
      <c r="F53" s="140">
        <v>493.13</v>
      </c>
      <c r="G53" s="136"/>
    </row>
    <row r="54" spans="1:7" x14ac:dyDescent="0.3">
      <c r="A54" s="132">
        <v>43465</v>
      </c>
      <c r="B54" s="133" t="s">
        <v>206</v>
      </c>
      <c r="C54" s="133" t="s">
        <v>209</v>
      </c>
      <c r="D54" s="134" t="s">
        <v>210</v>
      </c>
      <c r="E54" s="135">
        <v>334.32</v>
      </c>
      <c r="F54" s="135"/>
      <c r="G54" s="136"/>
    </row>
    <row r="55" spans="1:7" x14ac:dyDescent="0.3">
      <c r="A55" s="137"/>
      <c r="B55" s="138" t="s">
        <v>211</v>
      </c>
      <c r="C55" s="138" t="s">
        <v>209</v>
      </c>
      <c r="D55" s="139" t="s">
        <v>210</v>
      </c>
      <c r="E55" s="140"/>
      <c r="F55" s="140">
        <v>334.32</v>
      </c>
      <c r="G55" s="136"/>
    </row>
    <row r="56" spans="1:7" x14ac:dyDescent="0.3">
      <c r="A56" s="132">
        <v>43465</v>
      </c>
      <c r="B56" s="133" t="s">
        <v>106</v>
      </c>
      <c r="C56" s="133" t="s">
        <v>212</v>
      </c>
      <c r="D56" s="134" t="s">
        <v>213</v>
      </c>
      <c r="E56" s="135">
        <v>3566.79</v>
      </c>
      <c r="F56" s="135"/>
      <c r="G56" s="136"/>
    </row>
    <row r="57" spans="1:7" x14ac:dyDescent="0.3">
      <c r="A57" s="141"/>
      <c r="B57" s="142" t="s">
        <v>214</v>
      </c>
      <c r="C57" s="142" t="s">
        <v>212</v>
      </c>
      <c r="D57" s="143" t="s">
        <v>213</v>
      </c>
      <c r="E57" s="144"/>
      <c r="F57" s="144">
        <v>594.46</v>
      </c>
      <c r="G57" s="136"/>
    </row>
    <row r="58" spans="1:7" x14ac:dyDescent="0.3">
      <c r="A58" s="141"/>
      <c r="B58" s="142" t="s">
        <v>110</v>
      </c>
      <c r="C58" s="142" t="s">
        <v>212</v>
      </c>
      <c r="D58" s="143" t="s">
        <v>213</v>
      </c>
      <c r="E58" s="144"/>
      <c r="F58" s="144">
        <v>2972.33</v>
      </c>
      <c r="G58" s="136"/>
    </row>
    <row r="59" spans="1:7" x14ac:dyDescent="0.3">
      <c r="A59" s="132">
        <v>43465</v>
      </c>
      <c r="B59" s="133" t="s">
        <v>215</v>
      </c>
      <c r="C59" s="133" t="s">
        <v>216</v>
      </c>
      <c r="D59" s="134" t="s">
        <v>217</v>
      </c>
      <c r="E59" s="135"/>
      <c r="F59" s="135">
        <v>24.5</v>
      </c>
      <c r="G59" s="136"/>
    </row>
    <row r="60" spans="1:7" x14ac:dyDescent="0.3">
      <c r="A60" s="137"/>
      <c r="B60" s="138" t="s">
        <v>218</v>
      </c>
      <c r="C60" s="138" t="s">
        <v>216</v>
      </c>
      <c r="D60" s="139" t="s">
        <v>217</v>
      </c>
      <c r="E60" s="140">
        <v>24.5</v>
      </c>
      <c r="F60" s="140"/>
      <c r="G60" s="136"/>
    </row>
    <row r="61" spans="1:7" x14ac:dyDescent="0.3">
      <c r="A61" s="132">
        <v>43465</v>
      </c>
      <c r="B61" s="133" t="s">
        <v>115</v>
      </c>
      <c r="C61" s="133" t="s">
        <v>219</v>
      </c>
      <c r="D61" s="134" t="s">
        <v>220</v>
      </c>
      <c r="E61" s="135">
        <v>24.5</v>
      </c>
      <c r="F61" s="135"/>
      <c r="G61" s="136"/>
    </row>
    <row r="62" spans="1:7" x14ac:dyDescent="0.3">
      <c r="A62" s="137"/>
      <c r="B62" s="138" t="s">
        <v>105</v>
      </c>
      <c r="C62" s="138" t="s">
        <v>219</v>
      </c>
      <c r="D62" s="139" t="s">
        <v>220</v>
      </c>
      <c r="E62" s="140"/>
      <c r="F62" s="140">
        <v>24.5</v>
      </c>
      <c r="G62" s="136"/>
    </row>
    <row r="63" spans="1:7" x14ac:dyDescent="0.3">
      <c r="A63" s="132">
        <v>43465</v>
      </c>
      <c r="B63" s="133" t="s">
        <v>112</v>
      </c>
      <c r="C63" s="133" t="s">
        <v>221</v>
      </c>
      <c r="D63" s="134" t="s">
        <v>222</v>
      </c>
      <c r="E63" s="135">
        <v>3300</v>
      </c>
      <c r="F63" s="135"/>
      <c r="G63" s="136"/>
    </row>
    <row r="64" spans="1:7" x14ac:dyDescent="0.3">
      <c r="A64" s="137"/>
      <c r="B64" s="138" t="s">
        <v>223</v>
      </c>
      <c r="C64" s="138" t="s">
        <v>221</v>
      </c>
      <c r="D64" s="139" t="s">
        <v>222</v>
      </c>
      <c r="E64" s="140"/>
      <c r="F64" s="140">
        <v>3300</v>
      </c>
      <c r="G64" s="136"/>
    </row>
    <row r="65" spans="1:7" x14ac:dyDescent="0.3">
      <c r="A65" s="132">
        <v>43465</v>
      </c>
      <c r="B65" s="133" t="s">
        <v>224</v>
      </c>
      <c r="C65" s="133" t="s">
        <v>225</v>
      </c>
      <c r="D65" s="134" t="s">
        <v>226</v>
      </c>
      <c r="E65" s="135">
        <f>+E63*41%</f>
        <v>1353</v>
      </c>
      <c r="F65" s="135"/>
      <c r="G65" s="136"/>
    </row>
    <row r="66" spans="1:7" x14ac:dyDescent="0.3">
      <c r="A66" s="137"/>
      <c r="B66" s="138" t="s">
        <v>227</v>
      </c>
      <c r="C66" s="138" t="s">
        <v>225</v>
      </c>
      <c r="D66" s="139" t="s">
        <v>228</v>
      </c>
      <c r="E66" s="140"/>
      <c r="F66" s="140">
        <f>+E65</f>
        <v>1353</v>
      </c>
      <c r="G66" s="136"/>
    </row>
    <row r="67" spans="1:7" x14ac:dyDescent="0.3">
      <c r="A67" s="132">
        <v>43465</v>
      </c>
      <c r="B67" s="133" t="s">
        <v>229</v>
      </c>
      <c r="C67" s="133" t="s">
        <v>230</v>
      </c>
      <c r="D67" s="134" t="s">
        <v>231</v>
      </c>
      <c r="E67" s="135">
        <v>261.52999999999997</v>
      </c>
      <c r="F67" s="135"/>
      <c r="G67" s="136"/>
    </row>
    <row r="68" spans="1:7" x14ac:dyDescent="0.3">
      <c r="A68" s="137"/>
      <c r="B68" s="138" t="s">
        <v>109</v>
      </c>
      <c r="C68" s="138" t="s">
        <v>230</v>
      </c>
      <c r="D68" s="139" t="s">
        <v>231</v>
      </c>
      <c r="E68" s="140"/>
      <c r="F68" s="140">
        <v>261.52999999999997</v>
      </c>
      <c r="G68" s="136"/>
    </row>
    <row r="69" spans="1:7" x14ac:dyDescent="0.3">
      <c r="A69" s="132">
        <v>43465</v>
      </c>
      <c r="B69" s="133" t="s">
        <v>113</v>
      </c>
      <c r="C69" s="133" t="s">
        <v>232</v>
      </c>
      <c r="D69" s="134" t="s">
        <v>233</v>
      </c>
      <c r="E69" s="135">
        <v>580</v>
      </c>
      <c r="F69" s="135"/>
      <c r="G69" s="136"/>
    </row>
    <row r="70" spans="1:7" x14ac:dyDescent="0.3">
      <c r="A70" s="141"/>
      <c r="B70" s="142" t="s">
        <v>86</v>
      </c>
      <c r="C70" s="142" t="s">
        <v>232</v>
      </c>
      <c r="D70" s="143" t="s">
        <v>233</v>
      </c>
      <c r="E70" s="144">
        <v>116</v>
      </c>
      <c r="F70" s="144"/>
      <c r="G70" s="136"/>
    </row>
    <row r="71" spans="1:7" x14ac:dyDescent="0.3">
      <c r="A71" s="141"/>
      <c r="B71" s="142" t="s">
        <v>84</v>
      </c>
      <c r="C71" s="142" t="s">
        <v>232</v>
      </c>
      <c r="D71" s="143" t="s">
        <v>233</v>
      </c>
      <c r="E71" s="144"/>
      <c r="F71" s="144">
        <v>696</v>
      </c>
      <c r="G71" s="136"/>
    </row>
    <row r="72" spans="1:7" x14ac:dyDescent="0.3">
      <c r="A72" s="132">
        <v>43465</v>
      </c>
      <c r="B72" s="133" t="s">
        <v>234</v>
      </c>
      <c r="C72" s="133" t="s">
        <v>235</v>
      </c>
      <c r="D72" s="134" t="s">
        <v>233</v>
      </c>
      <c r="E72" s="135"/>
      <c r="F72" s="135">
        <v>580</v>
      </c>
      <c r="G72" s="136"/>
    </row>
    <row r="73" spans="1:7" x14ac:dyDescent="0.3">
      <c r="A73" s="137"/>
      <c r="B73" s="138" t="s">
        <v>88</v>
      </c>
      <c r="C73" s="138" t="s">
        <v>235</v>
      </c>
      <c r="D73" s="139" t="s">
        <v>233</v>
      </c>
      <c r="E73" s="140">
        <v>580</v>
      </c>
      <c r="F73" s="140"/>
      <c r="G73" s="136"/>
    </row>
    <row r="74" spans="1:7" x14ac:dyDescent="0.3">
      <c r="A74" s="132">
        <v>43465</v>
      </c>
      <c r="B74" s="133" t="s">
        <v>234</v>
      </c>
      <c r="C74" s="133" t="s">
        <v>236</v>
      </c>
      <c r="D74" s="134" t="s">
        <v>237</v>
      </c>
      <c r="E74" s="135"/>
      <c r="F74" s="135">
        <v>833.33</v>
      </c>
      <c r="G74" s="136"/>
    </row>
    <row r="75" spans="1:7" x14ac:dyDescent="0.3">
      <c r="A75" s="137"/>
      <c r="B75" s="138" t="s">
        <v>88</v>
      </c>
      <c r="C75" s="138" t="s">
        <v>236</v>
      </c>
      <c r="D75" s="139" t="s">
        <v>237</v>
      </c>
      <c r="E75" s="140">
        <v>833.33</v>
      </c>
      <c r="F75" s="140"/>
      <c r="G75" s="136"/>
    </row>
    <row r="76" spans="1:7" x14ac:dyDescent="0.3">
      <c r="A76" s="132">
        <v>43465</v>
      </c>
      <c r="B76" s="133" t="s">
        <v>84</v>
      </c>
      <c r="C76" s="133" t="s">
        <v>238</v>
      </c>
      <c r="D76" s="134" t="s">
        <v>239</v>
      </c>
      <c r="E76" s="135">
        <v>1812</v>
      </c>
      <c r="F76" s="135"/>
      <c r="G76" s="136"/>
    </row>
    <row r="77" spans="1:7" x14ac:dyDescent="0.3">
      <c r="A77" s="137"/>
      <c r="B77" s="138" t="s">
        <v>240</v>
      </c>
      <c r="C77" s="138" t="s">
        <v>238</v>
      </c>
      <c r="D77" s="139" t="s">
        <v>241</v>
      </c>
      <c r="E77" s="140"/>
      <c r="F77" s="140">
        <v>1812</v>
      </c>
      <c r="G77" s="136"/>
    </row>
    <row r="78" spans="1:7" x14ac:dyDescent="0.3">
      <c r="A78" s="132">
        <v>43465</v>
      </c>
      <c r="B78" s="133" t="s">
        <v>84</v>
      </c>
      <c r="C78" s="133" t="s">
        <v>242</v>
      </c>
      <c r="D78" s="134" t="s">
        <v>42</v>
      </c>
      <c r="E78" s="135">
        <v>4260</v>
      </c>
      <c r="F78" s="135"/>
      <c r="G78" s="136"/>
    </row>
    <row r="79" spans="1:7" x14ac:dyDescent="0.3">
      <c r="A79" s="141"/>
      <c r="B79" s="142" t="s">
        <v>243</v>
      </c>
      <c r="C79" s="142" t="s">
        <v>242</v>
      </c>
      <c r="D79" s="143" t="s">
        <v>42</v>
      </c>
      <c r="E79" s="144"/>
      <c r="F79" s="144">
        <v>4260</v>
      </c>
      <c r="G79" s="136"/>
    </row>
    <row r="80" spans="1:7" x14ac:dyDescent="0.3">
      <c r="A80" s="132">
        <v>43465</v>
      </c>
      <c r="B80" s="133" t="s">
        <v>244</v>
      </c>
      <c r="C80" s="133" t="s">
        <v>245</v>
      </c>
      <c r="D80" s="134" t="s">
        <v>246</v>
      </c>
      <c r="E80" s="135"/>
      <c r="F80" s="135">
        <v>2856</v>
      </c>
      <c r="G80" s="136"/>
    </row>
    <row r="81" spans="1:7" x14ac:dyDescent="0.3">
      <c r="A81" s="137"/>
      <c r="B81" s="138" t="s">
        <v>84</v>
      </c>
      <c r="C81" s="138" t="s">
        <v>245</v>
      </c>
      <c r="D81" s="139" t="s">
        <v>246</v>
      </c>
      <c r="E81" s="140">
        <v>2856</v>
      </c>
      <c r="F81" s="140"/>
      <c r="G81" s="136"/>
    </row>
    <row r="82" spans="1:7" x14ac:dyDescent="0.3">
      <c r="A82" s="132">
        <v>43465</v>
      </c>
      <c r="B82" s="133" t="s">
        <v>247</v>
      </c>
      <c r="C82" s="133" t="s">
        <v>248</v>
      </c>
      <c r="D82" s="134" t="s">
        <v>249</v>
      </c>
      <c r="E82" s="135"/>
      <c r="F82" s="135">
        <v>2136</v>
      </c>
      <c r="G82" s="136"/>
    </row>
    <row r="83" spans="1:7" x14ac:dyDescent="0.3">
      <c r="A83" s="137"/>
      <c r="B83" s="138" t="s">
        <v>84</v>
      </c>
      <c r="C83" s="138" t="s">
        <v>248</v>
      </c>
      <c r="D83" s="139" t="s">
        <v>249</v>
      </c>
      <c r="E83" s="140">
        <v>2136</v>
      </c>
      <c r="F83" s="140"/>
      <c r="G83" s="136"/>
    </row>
    <row r="84" spans="1:7" x14ac:dyDescent="0.3">
      <c r="A84" s="132">
        <v>43465</v>
      </c>
      <c r="B84" s="133" t="s">
        <v>250</v>
      </c>
      <c r="C84" s="133" t="s">
        <v>251</v>
      </c>
      <c r="D84" s="134" t="s">
        <v>252</v>
      </c>
      <c r="E84" s="135">
        <v>4998</v>
      </c>
      <c r="F84" s="135"/>
      <c r="G84" s="136"/>
    </row>
    <row r="85" spans="1:7" x14ac:dyDescent="0.3">
      <c r="A85" s="137"/>
      <c r="B85" s="138" t="s">
        <v>88</v>
      </c>
      <c r="C85" s="138" t="s">
        <v>251</v>
      </c>
      <c r="D85" s="139" t="s">
        <v>252</v>
      </c>
      <c r="E85" s="140"/>
      <c r="F85" s="140">
        <v>4998</v>
      </c>
      <c r="G85" s="136"/>
    </row>
    <row r="86" spans="1:7" x14ac:dyDescent="0.3">
      <c r="A86" s="132">
        <v>43465</v>
      </c>
      <c r="B86" s="133" t="s">
        <v>116</v>
      </c>
      <c r="C86" s="133" t="s">
        <v>253</v>
      </c>
      <c r="D86" s="134" t="s">
        <v>254</v>
      </c>
      <c r="E86" s="135">
        <v>6654</v>
      </c>
      <c r="F86" s="135"/>
      <c r="G86" s="136"/>
    </row>
    <row r="87" spans="1:7" x14ac:dyDescent="0.3">
      <c r="A87" s="137"/>
      <c r="B87" s="138" t="s">
        <v>107</v>
      </c>
      <c r="C87" s="138" t="s">
        <v>253</v>
      </c>
      <c r="D87" s="139" t="s">
        <v>254</v>
      </c>
      <c r="E87" s="140"/>
      <c r="F87" s="140">
        <v>6654</v>
      </c>
      <c r="G87" s="136"/>
    </row>
    <row r="88" spans="1:7" x14ac:dyDescent="0.3">
      <c r="A88" s="151"/>
      <c r="B88" s="151"/>
      <c r="C88" s="151"/>
      <c r="D88" s="152"/>
      <c r="E88" s="153">
        <f>SUM(E6:E87)</f>
        <v>179264.80277777778</v>
      </c>
      <c r="F88" s="153">
        <f>SUM(F6:F87)</f>
        <v>179264.80277777775</v>
      </c>
    </row>
    <row r="91" spans="1:7" x14ac:dyDescent="0.3">
      <c r="A91" s="132">
        <v>43465</v>
      </c>
      <c r="B91" s="154" t="s">
        <v>65</v>
      </c>
      <c r="C91" s="154" t="s">
        <v>56</v>
      </c>
      <c r="D91" s="155" t="s">
        <v>166</v>
      </c>
      <c r="E91" s="156">
        <v>15420.19</v>
      </c>
      <c r="F91" s="156"/>
    </row>
    <row r="92" spans="1:7" x14ac:dyDescent="0.3">
      <c r="A92" s="132">
        <v>43465</v>
      </c>
      <c r="B92" s="157" t="s">
        <v>65</v>
      </c>
      <c r="C92" s="157" t="s">
        <v>56</v>
      </c>
      <c r="D92" s="158" t="s">
        <v>166</v>
      </c>
      <c r="E92" s="159">
        <v>43.8</v>
      </c>
      <c r="F92" s="159"/>
    </row>
    <row r="93" spans="1:7" x14ac:dyDescent="0.3">
      <c r="A93" s="132">
        <v>43465</v>
      </c>
      <c r="B93" s="157" t="s">
        <v>255</v>
      </c>
      <c r="C93" s="157" t="s">
        <v>56</v>
      </c>
      <c r="D93" s="158" t="s">
        <v>166</v>
      </c>
      <c r="E93" s="159"/>
      <c r="F93" s="159">
        <v>43.8</v>
      </c>
    </row>
    <row r="94" spans="1:7" x14ac:dyDescent="0.3">
      <c r="A94" s="132">
        <v>43465</v>
      </c>
      <c r="B94" s="157" t="s">
        <v>59</v>
      </c>
      <c r="C94" s="157" t="s">
        <v>56</v>
      </c>
      <c r="D94" s="158" t="s">
        <v>166</v>
      </c>
      <c r="E94" s="159"/>
      <c r="F94" s="159">
        <v>3970</v>
      </c>
    </row>
    <row r="95" spans="1:7" ht="17.399999999999999" customHeight="1" x14ac:dyDescent="0.3">
      <c r="A95" s="132">
        <v>43465</v>
      </c>
      <c r="B95" s="157" t="s">
        <v>60</v>
      </c>
      <c r="C95" s="157" t="s">
        <v>56</v>
      </c>
      <c r="D95" s="158" t="s">
        <v>166</v>
      </c>
      <c r="E95" s="159"/>
      <c r="F95" s="159">
        <v>4549</v>
      </c>
    </row>
    <row r="96" spans="1:7" x14ac:dyDescent="0.3">
      <c r="A96" s="132">
        <v>43465</v>
      </c>
      <c r="B96" s="157" t="s">
        <v>61</v>
      </c>
      <c r="C96" s="157" t="s">
        <v>56</v>
      </c>
      <c r="D96" s="158" t="s">
        <v>166</v>
      </c>
      <c r="E96" s="159"/>
      <c r="F96" s="159">
        <v>5028.1899999999996</v>
      </c>
    </row>
    <row r="97" spans="1:6" x14ac:dyDescent="0.3">
      <c r="A97" s="132">
        <v>43465</v>
      </c>
      <c r="B97" s="157" t="s">
        <v>62</v>
      </c>
      <c r="C97" s="157" t="s">
        <v>56</v>
      </c>
      <c r="D97" s="158" t="s">
        <v>166</v>
      </c>
      <c r="E97" s="159"/>
      <c r="F97" s="159">
        <v>913</v>
      </c>
    </row>
    <row r="98" spans="1:6" x14ac:dyDescent="0.3">
      <c r="A98" s="132">
        <v>43465</v>
      </c>
      <c r="B98" s="160" t="s">
        <v>62</v>
      </c>
      <c r="C98" s="160" t="s">
        <v>56</v>
      </c>
      <c r="D98" s="161" t="s">
        <v>166</v>
      </c>
      <c r="E98" s="162"/>
      <c r="F98" s="162">
        <v>960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P36"/>
  <sheetViews>
    <sheetView workbookViewId="0">
      <selection activeCell="B2" sqref="B2"/>
    </sheetView>
  </sheetViews>
  <sheetFormatPr baseColWidth="10" defaultColWidth="12" defaultRowHeight="15.6" customHeight="1" outlineLevelRow="2" x14ac:dyDescent="0.3"/>
  <cols>
    <col min="1" max="1" width="24.59765625" style="3" customWidth="1"/>
    <col min="2" max="2" width="48.09765625" style="35" customWidth="1"/>
    <col min="3" max="3" width="17.69921875" style="3" customWidth="1"/>
    <col min="4" max="4" width="8.09765625" style="3" customWidth="1"/>
    <col min="5" max="5" width="16.59765625" style="4" customWidth="1"/>
    <col min="6" max="6" width="13.69921875" style="4" customWidth="1"/>
    <col min="7" max="7" width="15.69921875" style="4" customWidth="1"/>
    <col min="8" max="8" width="17.09765625" style="4" customWidth="1"/>
    <col min="9" max="9" width="14" style="4" customWidth="1"/>
    <col min="10" max="10" width="15.69921875" style="3" customWidth="1"/>
    <col min="11" max="11" width="13.69921875" style="3" customWidth="1"/>
    <col min="12" max="12" width="15.69921875" style="3" customWidth="1"/>
    <col min="13" max="13" width="13.5" style="3" customWidth="1"/>
    <col min="14" max="14" width="15.5" style="3" customWidth="1"/>
    <col min="15" max="16384" width="12" style="3"/>
  </cols>
  <sheetData>
    <row r="2" spans="1:16" ht="17.399999999999999" x14ac:dyDescent="0.3">
      <c r="A2" s="3" t="s">
        <v>11</v>
      </c>
      <c r="C2" s="254" t="s">
        <v>134</v>
      </c>
      <c r="D2" s="254"/>
      <c r="E2" s="254"/>
      <c r="F2" s="254"/>
      <c r="G2" s="254"/>
      <c r="H2" s="254"/>
      <c r="I2" s="71"/>
      <c r="J2" s="46"/>
      <c r="K2" s="46"/>
      <c r="L2" s="46"/>
      <c r="M2" s="46"/>
      <c r="N2" s="46"/>
      <c r="O2" s="46"/>
    </row>
    <row r="3" spans="1:16" ht="15" x14ac:dyDescent="0.3"/>
    <row r="4" spans="1:16" ht="18" customHeight="1" x14ac:dyDescent="0.3">
      <c r="A4" s="239" t="s">
        <v>135</v>
      </c>
      <c r="B4" s="240"/>
      <c r="C4" s="240"/>
      <c r="D4" s="241"/>
      <c r="E4" s="236" t="s">
        <v>67</v>
      </c>
      <c r="F4" s="237"/>
      <c r="G4" s="237"/>
      <c r="H4" s="238"/>
      <c r="I4" s="233" t="s">
        <v>68</v>
      </c>
      <c r="J4" s="234"/>
      <c r="K4" s="234"/>
      <c r="L4" s="234"/>
      <c r="M4" s="235"/>
      <c r="N4" s="229" t="s">
        <v>5</v>
      </c>
      <c r="O4" s="231" t="s">
        <v>145</v>
      </c>
    </row>
    <row r="5" spans="1:16" ht="44.25" customHeight="1" x14ac:dyDescent="0.3">
      <c r="A5" s="29" t="s">
        <v>2</v>
      </c>
      <c r="B5" s="29" t="s">
        <v>3</v>
      </c>
      <c r="C5" s="29" t="s">
        <v>7</v>
      </c>
      <c r="D5" s="29" t="s">
        <v>1</v>
      </c>
      <c r="E5" s="36" t="s">
        <v>137</v>
      </c>
      <c r="F5" s="36" t="s">
        <v>141</v>
      </c>
      <c r="G5" s="36" t="s">
        <v>142</v>
      </c>
      <c r="H5" s="37" t="s">
        <v>138</v>
      </c>
      <c r="I5" s="38" t="s">
        <v>139</v>
      </c>
      <c r="J5" s="38" t="s">
        <v>140</v>
      </c>
      <c r="K5" s="38" t="s">
        <v>143</v>
      </c>
      <c r="L5" s="38" t="s">
        <v>31</v>
      </c>
      <c r="M5" s="39" t="s">
        <v>144</v>
      </c>
      <c r="N5" s="230"/>
      <c r="O5" s="232"/>
    </row>
    <row r="6" spans="1:16" ht="15.6" customHeight="1" outlineLevel="2" x14ac:dyDescent="0.3">
      <c r="A6" s="31" t="s">
        <v>25</v>
      </c>
      <c r="B6" s="31" t="s">
        <v>8</v>
      </c>
      <c r="C6" s="32">
        <v>42737</v>
      </c>
      <c r="D6" s="29"/>
      <c r="E6" s="47">
        <v>30000</v>
      </c>
      <c r="F6" s="40"/>
      <c r="G6" s="40"/>
      <c r="H6" s="41">
        <f>+F6+E6-G6</f>
        <v>30000</v>
      </c>
      <c r="I6" s="48"/>
      <c r="J6" s="49"/>
      <c r="K6" s="49"/>
      <c r="L6" s="49"/>
      <c r="M6" s="43">
        <f>I6+J6+K6+L6</f>
        <v>0</v>
      </c>
      <c r="N6" s="10">
        <f t="shared" ref="N6:N27" si="0">+H6-M6</f>
        <v>30000</v>
      </c>
      <c r="O6" s="10"/>
    </row>
    <row r="7" spans="1:16" s="28" customFormat="1" ht="15.6" customHeight="1" outlineLevel="1" x14ac:dyDescent="0.3">
      <c r="A7" s="50" t="s">
        <v>26</v>
      </c>
      <c r="B7" s="50"/>
      <c r="C7" s="73"/>
      <c r="D7" s="74"/>
      <c r="E7" s="75">
        <f t="shared" ref="E7:O7" si="1">SUBTOTAL(9,E6:E6)</f>
        <v>30000</v>
      </c>
      <c r="F7" s="44">
        <f t="shared" si="1"/>
        <v>0</v>
      </c>
      <c r="G7" s="44">
        <f t="shared" si="1"/>
        <v>0</v>
      </c>
      <c r="H7" s="44">
        <f t="shared" si="1"/>
        <v>30000</v>
      </c>
      <c r="I7" s="75">
        <f t="shared" si="1"/>
        <v>0</v>
      </c>
      <c r="J7" s="76">
        <f t="shared" si="1"/>
        <v>0</v>
      </c>
      <c r="K7" s="76">
        <f t="shared" si="1"/>
        <v>0</v>
      </c>
      <c r="L7" s="76">
        <f t="shared" si="1"/>
        <v>0</v>
      </c>
      <c r="M7" s="45">
        <f t="shared" si="1"/>
        <v>0</v>
      </c>
      <c r="N7" s="45">
        <f t="shared" si="0"/>
        <v>30000</v>
      </c>
      <c r="O7" s="45">
        <f t="shared" si="1"/>
        <v>0</v>
      </c>
    </row>
    <row r="8" spans="1:16" ht="15.6" customHeight="1" outlineLevel="2" x14ac:dyDescent="0.3">
      <c r="A8" s="33" t="s">
        <v>13</v>
      </c>
      <c r="B8" s="31" t="s">
        <v>70</v>
      </c>
      <c r="C8" s="32">
        <v>42737</v>
      </c>
      <c r="D8" s="34">
        <v>5</v>
      </c>
      <c r="E8" s="40">
        <v>14850</v>
      </c>
      <c r="F8" s="40"/>
      <c r="G8" s="40"/>
      <c r="H8" s="41">
        <f>+F8+E8-G8</f>
        <v>14850</v>
      </c>
      <c r="I8" s="51">
        <f>+E8*10/12/D8</f>
        <v>2475</v>
      </c>
      <c r="J8" s="42">
        <f>E8/D8</f>
        <v>2970</v>
      </c>
      <c r="K8" s="42"/>
      <c r="L8" s="42"/>
      <c r="M8" s="43">
        <f>I8+J8+K8+L8</f>
        <v>5445</v>
      </c>
      <c r="N8" s="10">
        <f t="shared" si="0"/>
        <v>9405</v>
      </c>
      <c r="O8" s="10"/>
    </row>
    <row r="9" spans="1:16" ht="30.6" customHeight="1" outlineLevel="2" x14ac:dyDescent="0.3">
      <c r="A9" s="33" t="s">
        <v>13</v>
      </c>
      <c r="B9" s="31" t="s">
        <v>15</v>
      </c>
      <c r="C9" s="30">
        <v>42753</v>
      </c>
      <c r="D9" s="34">
        <v>3</v>
      </c>
      <c r="E9" s="40">
        <v>3000</v>
      </c>
      <c r="F9" s="40"/>
      <c r="G9" s="40"/>
      <c r="H9" s="41">
        <f>+F9+E9-G9</f>
        <v>3000</v>
      </c>
      <c r="I9" s="51">
        <f>+E9*11.5/12/D9</f>
        <v>958.33333333333337</v>
      </c>
      <c r="J9" s="42">
        <f>E9/D9</f>
        <v>1000</v>
      </c>
      <c r="K9" s="42"/>
      <c r="L9" s="42"/>
      <c r="M9" s="43">
        <f>I9+J9+K9+L9</f>
        <v>1958.3333333333335</v>
      </c>
      <c r="N9" s="10">
        <f t="shared" si="0"/>
        <v>1041.6666666666665</v>
      </c>
      <c r="O9" s="10"/>
    </row>
    <row r="10" spans="1:16" ht="30.6" customHeight="1" outlineLevel="2" x14ac:dyDescent="0.3">
      <c r="A10" s="33" t="s">
        <v>13</v>
      </c>
      <c r="B10" s="31" t="s">
        <v>89</v>
      </c>
      <c r="C10" s="30">
        <v>43412</v>
      </c>
      <c r="D10" s="34">
        <v>4</v>
      </c>
      <c r="E10" s="40"/>
      <c r="F10" s="40">
        <v>2750</v>
      </c>
      <c r="G10" s="40"/>
      <c r="H10" s="41">
        <f>+F10+E10-G10</f>
        <v>2750</v>
      </c>
      <c r="I10" s="51"/>
      <c r="J10" s="42">
        <f>+F10*(30+23)/360/D10</f>
        <v>101.21527777777777</v>
      </c>
      <c r="K10" s="42"/>
      <c r="L10" s="42"/>
      <c r="M10" s="43">
        <f>I10+J10+K10+L10</f>
        <v>101.21527777777777</v>
      </c>
      <c r="N10" s="10"/>
      <c r="O10" s="10">
        <f>+H10*(25%*1.25)*(2/12)-J10</f>
        <v>42.013888888888886</v>
      </c>
    </row>
    <row r="11" spans="1:16" s="28" customFormat="1" ht="15.6" customHeight="1" outlineLevel="1" x14ac:dyDescent="0.3">
      <c r="A11" s="52" t="s">
        <v>20</v>
      </c>
      <c r="B11" s="50"/>
      <c r="C11" s="77"/>
      <c r="D11" s="76"/>
      <c r="E11" s="44">
        <f>SUBTOTAL(9,E8:E10)</f>
        <v>17850</v>
      </c>
      <c r="F11" s="44">
        <f>SUBTOTAL(9,F8:F10)</f>
        <v>2750</v>
      </c>
      <c r="G11" s="44">
        <f>SUBTOTAL(9,G8:G10)</f>
        <v>0</v>
      </c>
      <c r="H11" s="44">
        <f>SUBTOTAL(9,H8:H10)</f>
        <v>20600</v>
      </c>
      <c r="I11" s="44">
        <f t="shared" ref="I11:L11" si="2">SUBTOTAL(9,I8:I10)</f>
        <v>3433.3333333333335</v>
      </c>
      <c r="J11" s="44">
        <f>SUBTOTAL(9,J8:J10)</f>
        <v>4071.2152777777778</v>
      </c>
      <c r="K11" s="44">
        <f t="shared" si="2"/>
        <v>0</v>
      </c>
      <c r="L11" s="44">
        <f t="shared" si="2"/>
        <v>0</v>
      </c>
      <c r="M11" s="44">
        <f>SUBTOTAL(9,M8:M10)</f>
        <v>7504.5486111111113</v>
      </c>
      <c r="N11" s="45">
        <f t="shared" si="0"/>
        <v>13095.451388888889</v>
      </c>
      <c r="O11" s="45">
        <f t="shared" ref="O11" si="3">SUBTOTAL(9,O8:O9)</f>
        <v>0</v>
      </c>
      <c r="P11" s="28">
        <f>20600-2750</f>
        <v>17850</v>
      </c>
    </row>
    <row r="12" spans="1:16" ht="15.6" customHeight="1" outlineLevel="2" x14ac:dyDescent="0.3">
      <c r="A12" s="33" t="s">
        <v>6</v>
      </c>
      <c r="B12" s="31" t="s">
        <v>14</v>
      </c>
      <c r="C12" s="32">
        <v>42737</v>
      </c>
      <c r="D12" s="34">
        <v>10</v>
      </c>
      <c r="E12" s="40">
        <v>5220</v>
      </c>
      <c r="F12" s="40"/>
      <c r="G12" s="40"/>
      <c r="H12" s="41">
        <f>+F12+E12-G12</f>
        <v>5220</v>
      </c>
      <c r="I12" s="51">
        <f>+E12/D12</f>
        <v>522</v>
      </c>
      <c r="J12" s="42">
        <f>E12/D12</f>
        <v>522</v>
      </c>
      <c r="K12" s="42"/>
      <c r="L12" s="42"/>
      <c r="M12" s="43">
        <f>I12+J12+K12+L12</f>
        <v>1044</v>
      </c>
      <c r="N12" s="10">
        <f t="shared" si="0"/>
        <v>4176</v>
      </c>
      <c r="O12" s="10"/>
    </row>
    <row r="13" spans="1:16" ht="15.6" customHeight="1" outlineLevel="2" x14ac:dyDescent="0.3">
      <c r="A13" s="33" t="s">
        <v>6</v>
      </c>
      <c r="B13" s="31" t="s">
        <v>12</v>
      </c>
      <c r="C13" s="32">
        <v>42737</v>
      </c>
      <c r="D13" s="34">
        <v>10</v>
      </c>
      <c r="E13" s="40">
        <v>8900</v>
      </c>
      <c r="F13" s="40"/>
      <c r="G13" s="40"/>
      <c r="H13" s="41">
        <f>+F13+E13-G13</f>
        <v>8900</v>
      </c>
      <c r="I13" s="51">
        <f>+E13/D13</f>
        <v>890</v>
      </c>
      <c r="J13" s="42">
        <f>E13/D13</f>
        <v>890</v>
      </c>
      <c r="K13" s="42"/>
      <c r="L13" s="42"/>
      <c r="M13" s="43">
        <f>I13+J13+K13+L13</f>
        <v>1780</v>
      </c>
      <c r="N13" s="10">
        <f t="shared" si="0"/>
        <v>7120</v>
      </c>
      <c r="O13" s="10"/>
    </row>
    <row r="14" spans="1:16" ht="15.6" customHeight="1" outlineLevel="2" x14ac:dyDescent="0.3">
      <c r="A14" s="33" t="s">
        <v>6</v>
      </c>
      <c r="B14" s="31" t="s">
        <v>28</v>
      </c>
      <c r="C14" s="30" t="s">
        <v>136</v>
      </c>
      <c r="D14" s="34">
        <v>10</v>
      </c>
      <c r="E14" s="40">
        <v>14320</v>
      </c>
      <c r="F14" s="40"/>
      <c r="G14" s="40"/>
      <c r="H14" s="41">
        <f>+F14+E14-G14</f>
        <v>14320</v>
      </c>
      <c r="I14" s="51">
        <f>+E14/D14</f>
        <v>1432</v>
      </c>
      <c r="J14" s="42">
        <f>E14/D14</f>
        <v>1432</v>
      </c>
      <c r="K14" s="42"/>
      <c r="L14" s="42"/>
      <c r="M14" s="43">
        <f>I14+J14+K14+L14</f>
        <v>2864</v>
      </c>
      <c r="N14" s="10">
        <f t="shared" si="0"/>
        <v>11456</v>
      </c>
      <c r="O14" s="10"/>
    </row>
    <row r="15" spans="1:16" ht="15.6" customHeight="1" outlineLevel="2" x14ac:dyDescent="0.3">
      <c r="A15" s="33" t="s">
        <v>6</v>
      </c>
      <c r="B15" s="31" t="s">
        <v>29</v>
      </c>
      <c r="C15" s="30">
        <v>42949</v>
      </c>
      <c r="D15" s="34">
        <v>2</v>
      </c>
      <c r="E15" s="40">
        <v>3720</v>
      </c>
      <c r="F15" s="53"/>
      <c r="G15" s="40">
        <v>3720</v>
      </c>
      <c r="H15" s="41">
        <f>+F15+E15-G15</f>
        <v>0</v>
      </c>
      <c r="I15" s="51">
        <f>+E15/D15*5/12</f>
        <v>775</v>
      </c>
      <c r="J15" s="42">
        <f>E15/D15*11/12</f>
        <v>1705</v>
      </c>
      <c r="K15" s="42">
        <f>+G15-I15-J15</f>
        <v>1240</v>
      </c>
      <c r="L15" s="42">
        <f>-I15-J15-K15</f>
        <v>-3720</v>
      </c>
      <c r="M15" s="43">
        <f>I15+J15+K15+L15</f>
        <v>0</v>
      </c>
      <c r="N15" s="10">
        <f t="shared" si="0"/>
        <v>0</v>
      </c>
      <c r="O15" s="10"/>
    </row>
    <row r="16" spans="1:16" ht="15.6" customHeight="1" outlineLevel="2" x14ac:dyDescent="0.3">
      <c r="A16" s="33" t="s">
        <v>6</v>
      </c>
      <c r="B16" s="31" t="s">
        <v>29</v>
      </c>
      <c r="C16" s="30">
        <v>43463</v>
      </c>
      <c r="D16" s="34">
        <v>4</v>
      </c>
      <c r="E16" s="40"/>
      <c r="F16" s="53">
        <f>E36</f>
        <v>4258.04</v>
      </c>
      <c r="G16" s="40"/>
      <c r="H16" s="41">
        <f>+F16+E16-G16</f>
        <v>4258.04</v>
      </c>
      <c r="I16" s="51"/>
      <c r="J16" s="42"/>
      <c r="K16" s="42"/>
      <c r="L16" s="42"/>
      <c r="M16" s="43">
        <f>I16+J16+K16+L16</f>
        <v>0</v>
      </c>
      <c r="N16" s="10">
        <f t="shared" si="0"/>
        <v>4258.04</v>
      </c>
      <c r="O16" s="10"/>
    </row>
    <row r="17" spans="1:15" s="28" customFormat="1" ht="15.6" customHeight="1" outlineLevel="1" x14ac:dyDescent="0.3">
      <c r="A17" s="52" t="s">
        <v>19</v>
      </c>
      <c r="B17" s="50"/>
      <c r="C17" s="77"/>
      <c r="D17" s="76"/>
      <c r="E17" s="44">
        <f t="shared" ref="E17:O17" si="4">SUBTOTAL(9,E12:E16)</f>
        <v>32160</v>
      </c>
      <c r="F17" s="45">
        <f t="shared" si="4"/>
        <v>4258.04</v>
      </c>
      <c r="G17" s="44">
        <f t="shared" si="4"/>
        <v>3720</v>
      </c>
      <c r="H17" s="44">
        <f t="shared" si="4"/>
        <v>32698.04</v>
      </c>
      <c r="I17" s="44">
        <f t="shared" si="4"/>
        <v>3619</v>
      </c>
      <c r="J17" s="45">
        <f t="shared" si="4"/>
        <v>4549</v>
      </c>
      <c r="K17" s="45">
        <f t="shared" si="4"/>
        <v>1240</v>
      </c>
      <c r="L17" s="45">
        <f t="shared" si="4"/>
        <v>-3720</v>
      </c>
      <c r="M17" s="45">
        <f t="shared" si="4"/>
        <v>5688</v>
      </c>
      <c r="N17" s="45">
        <f t="shared" si="0"/>
        <v>27010.04</v>
      </c>
      <c r="O17" s="45">
        <f t="shared" si="4"/>
        <v>0</v>
      </c>
    </row>
    <row r="18" spans="1:15" ht="30.6" customHeight="1" outlineLevel="2" x14ac:dyDescent="0.3">
      <c r="A18" s="33" t="s">
        <v>4</v>
      </c>
      <c r="B18" s="31" t="s">
        <v>18</v>
      </c>
      <c r="C18" s="32">
        <v>42738</v>
      </c>
      <c r="D18" s="34">
        <v>4</v>
      </c>
      <c r="E18" s="47">
        <v>17800</v>
      </c>
      <c r="F18" s="40"/>
      <c r="G18" s="40">
        <v>17800</v>
      </c>
      <c r="H18" s="41">
        <f>+F18+E18-G18</f>
        <v>0</v>
      </c>
      <c r="I18" s="51">
        <f>+E18/D18</f>
        <v>4450</v>
      </c>
      <c r="J18" s="42">
        <f>E18/D18*(30*11+17)/360</f>
        <v>4289.3055555555557</v>
      </c>
      <c r="K18" s="42"/>
      <c r="L18" s="42">
        <f>-I18-J18</f>
        <v>-8739.3055555555547</v>
      </c>
      <c r="M18" s="43">
        <f>I18+J18+K18+L18</f>
        <v>0</v>
      </c>
      <c r="N18" s="10">
        <f t="shared" si="0"/>
        <v>0</v>
      </c>
      <c r="O18" s="10"/>
    </row>
    <row r="19" spans="1:15" ht="15.6" customHeight="1" outlineLevel="2" x14ac:dyDescent="0.3">
      <c r="A19" s="33" t="s">
        <v>4</v>
      </c>
      <c r="B19" s="31" t="s">
        <v>30</v>
      </c>
      <c r="C19" s="30">
        <v>43409</v>
      </c>
      <c r="D19" s="34">
        <v>4</v>
      </c>
      <c r="E19" s="47"/>
      <c r="F19" s="40">
        <v>19000</v>
      </c>
      <c r="G19" s="40"/>
      <c r="H19" s="41">
        <f>+F19+E19-G19</f>
        <v>19000</v>
      </c>
      <c r="I19" s="51">
        <f>+E19/D19</f>
        <v>0</v>
      </c>
      <c r="J19" s="42">
        <f>F19/D19*56/360</f>
        <v>738.88888888888891</v>
      </c>
      <c r="K19" s="42"/>
      <c r="L19" s="42"/>
      <c r="M19" s="43">
        <f>I19+J19+K19+L19</f>
        <v>738.88888888888891</v>
      </c>
      <c r="N19" s="10">
        <f t="shared" si="0"/>
        <v>18261.111111111109</v>
      </c>
      <c r="O19" s="10"/>
    </row>
    <row r="20" spans="1:15" s="28" customFormat="1" ht="15.6" customHeight="1" outlineLevel="1" x14ac:dyDescent="0.3">
      <c r="A20" s="52" t="s">
        <v>22</v>
      </c>
      <c r="B20" s="50"/>
      <c r="C20" s="77"/>
      <c r="D20" s="76"/>
      <c r="E20" s="75">
        <f t="shared" ref="E20:O20" si="5">SUBTOTAL(9,E18:E19)</f>
        <v>17800</v>
      </c>
      <c r="F20" s="44">
        <f t="shared" si="5"/>
        <v>19000</v>
      </c>
      <c r="G20" s="44">
        <f t="shared" si="5"/>
        <v>17800</v>
      </c>
      <c r="H20" s="44">
        <f t="shared" si="5"/>
        <v>19000</v>
      </c>
      <c r="I20" s="44">
        <f t="shared" si="5"/>
        <v>4450</v>
      </c>
      <c r="J20" s="45">
        <f t="shared" si="5"/>
        <v>5028.1944444444443</v>
      </c>
      <c r="K20" s="45">
        <f t="shared" si="5"/>
        <v>0</v>
      </c>
      <c r="L20" s="45">
        <f t="shared" si="5"/>
        <v>-8739.3055555555547</v>
      </c>
      <c r="M20" s="45">
        <f t="shared" si="5"/>
        <v>738.88888888888891</v>
      </c>
      <c r="N20" s="45">
        <f t="shared" si="0"/>
        <v>18261.111111111109</v>
      </c>
      <c r="O20" s="45">
        <f t="shared" si="5"/>
        <v>0</v>
      </c>
    </row>
    <row r="21" spans="1:15" ht="15.6" customHeight="1" outlineLevel="2" x14ac:dyDescent="0.3">
      <c r="A21" s="33" t="s">
        <v>9</v>
      </c>
      <c r="B21" s="31" t="s">
        <v>16</v>
      </c>
      <c r="C21" s="32">
        <v>42737</v>
      </c>
      <c r="D21" s="34">
        <v>5</v>
      </c>
      <c r="E21" s="40">
        <v>1780</v>
      </c>
      <c r="F21" s="40"/>
      <c r="G21" s="40"/>
      <c r="H21" s="41">
        <f>+F21+E21-G21</f>
        <v>1780</v>
      </c>
      <c r="I21" s="51">
        <f>+E21/D21</f>
        <v>356</v>
      </c>
      <c r="J21" s="42">
        <f>E21/D21</f>
        <v>356</v>
      </c>
      <c r="K21" s="42"/>
      <c r="L21" s="42"/>
      <c r="M21" s="43">
        <f>I21+J21+K21+L21</f>
        <v>712</v>
      </c>
      <c r="N21" s="10">
        <f t="shared" si="0"/>
        <v>1068</v>
      </c>
      <c r="O21" s="10"/>
    </row>
    <row r="22" spans="1:15" ht="15.6" customHeight="1" outlineLevel="2" x14ac:dyDescent="0.3">
      <c r="A22" s="33" t="s">
        <v>9</v>
      </c>
      <c r="B22" s="31" t="s">
        <v>17</v>
      </c>
      <c r="C22" s="32">
        <v>42737</v>
      </c>
      <c r="D22" s="34">
        <v>5</v>
      </c>
      <c r="E22" s="40">
        <v>2785</v>
      </c>
      <c r="F22" s="40"/>
      <c r="G22" s="40"/>
      <c r="H22" s="41">
        <f>+F22+E22-G22</f>
        <v>2785</v>
      </c>
      <c r="I22" s="51">
        <f>+E22/D22</f>
        <v>557</v>
      </c>
      <c r="J22" s="42">
        <f>E22/D22</f>
        <v>557</v>
      </c>
      <c r="K22" s="42"/>
      <c r="L22" s="42"/>
      <c r="M22" s="43">
        <f>I22+J22+K22+L22</f>
        <v>1114</v>
      </c>
      <c r="N22" s="10">
        <f t="shared" si="0"/>
        <v>1671</v>
      </c>
      <c r="O22" s="10"/>
    </row>
    <row r="23" spans="1:15" s="28" customFormat="1" ht="15.6" customHeight="1" outlineLevel="1" x14ac:dyDescent="0.3">
      <c r="A23" s="52" t="s">
        <v>21</v>
      </c>
      <c r="B23" s="50"/>
      <c r="C23" s="77"/>
      <c r="D23" s="76"/>
      <c r="E23" s="44">
        <f t="shared" ref="E23:O23" si="6">SUBTOTAL(9,E21:E22)</f>
        <v>4565</v>
      </c>
      <c r="F23" s="44">
        <f t="shared" si="6"/>
        <v>0</v>
      </c>
      <c r="G23" s="44">
        <f t="shared" si="6"/>
        <v>0</v>
      </c>
      <c r="H23" s="44">
        <f t="shared" si="6"/>
        <v>4565</v>
      </c>
      <c r="I23" s="44">
        <f t="shared" si="6"/>
        <v>913</v>
      </c>
      <c r="J23" s="45">
        <f t="shared" si="6"/>
        <v>913</v>
      </c>
      <c r="K23" s="45">
        <f t="shared" si="6"/>
        <v>0</v>
      </c>
      <c r="L23" s="45">
        <f t="shared" si="6"/>
        <v>0</v>
      </c>
      <c r="M23" s="45">
        <f t="shared" si="6"/>
        <v>1826</v>
      </c>
      <c r="N23" s="45">
        <f t="shared" si="0"/>
        <v>2739</v>
      </c>
      <c r="O23" s="45">
        <f t="shared" si="6"/>
        <v>0</v>
      </c>
    </row>
    <row r="24" spans="1:15" ht="15.6" customHeight="1" outlineLevel="2" x14ac:dyDescent="0.3">
      <c r="A24" s="34" t="s">
        <v>10</v>
      </c>
      <c r="B24" s="31" t="s">
        <v>27</v>
      </c>
      <c r="C24" s="32">
        <v>42737</v>
      </c>
      <c r="D24" s="34">
        <v>3</v>
      </c>
      <c r="E24" s="40">
        <v>1440</v>
      </c>
      <c r="F24" s="40"/>
      <c r="G24" s="40"/>
      <c r="H24" s="41">
        <f>+F24+E24-G24</f>
        <v>1440</v>
      </c>
      <c r="I24" s="51">
        <f>+E24/D24</f>
        <v>480</v>
      </c>
      <c r="J24" s="42">
        <f>E24/D24</f>
        <v>480</v>
      </c>
      <c r="K24" s="42"/>
      <c r="L24" s="42"/>
      <c r="M24" s="43">
        <f>I24+J24+K24+L24</f>
        <v>960</v>
      </c>
      <c r="N24" s="10">
        <f t="shared" si="0"/>
        <v>480</v>
      </c>
      <c r="O24" s="10"/>
    </row>
    <row r="25" spans="1:15" ht="15.6" customHeight="1" outlineLevel="2" x14ac:dyDescent="0.3">
      <c r="A25" s="34" t="s">
        <v>10</v>
      </c>
      <c r="B25" s="31" t="s">
        <v>27</v>
      </c>
      <c r="C25" s="32">
        <v>42737</v>
      </c>
      <c r="D25" s="34">
        <v>3</v>
      </c>
      <c r="E25" s="40">
        <v>1440</v>
      </c>
      <c r="F25" s="40"/>
      <c r="G25" s="40"/>
      <c r="H25" s="41">
        <f>+F25+E25-G25</f>
        <v>1440</v>
      </c>
      <c r="I25" s="51">
        <f>+E25/D25</f>
        <v>480</v>
      </c>
      <c r="J25" s="42">
        <f>E25/D25</f>
        <v>480</v>
      </c>
      <c r="K25" s="42"/>
      <c r="L25" s="42"/>
      <c r="M25" s="43">
        <f>I25+J25+K25+L25</f>
        <v>960</v>
      </c>
      <c r="N25" s="10">
        <f t="shared" si="0"/>
        <v>480</v>
      </c>
      <c r="O25" s="10"/>
    </row>
    <row r="26" spans="1:15" s="28" customFormat="1" ht="15.6" customHeight="1" outlineLevel="1" thickBot="1" x14ac:dyDescent="0.35">
      <c r="A26" s="54" t="s">
        <v>23</v>
      </c>
      <c r="B26" s="78"/>
      <c r="C26" s="79"/>
      <c r="D26" s="54"/>
      <c r="E26" s="55">
        <f t="shared" ref="E26:O26" si="7">SUBTOTAL(9,E24:E25)</f>
        <v>2880</v>
      </c>
      <c r="F26" s="55">
        <f t="shared" si="7"/>
        <v>0</v>
      </c>
      <c r="G26" s="55">
        <f t="shared" si="7"/>
        <v>0</v>
      </c>
      <c r="H26" s="55">
        <f t="shared" si="7"/>
        <v>2880</v>
      </c>
      <c r="I26" s="55">
        <f t="shared" si="7"/>
        <v>960</v>
      </c>
      <c r="J26" s="56">
        <f t="shared" si="7"/>
        <v>960</v>
      </c>
      <c r="K26" s="56">
        <f t="shared" si="7"/>
        <v>0</v>
      </c>
      <c r="L26" s="56">
        <f t="shared" si="7"/>
        <v>0</v>
      </c>
      <c r="M26" s="56">
        <f t="shared" si="7"/>
        <v>1920</v>
      </c>
      <c r="N26" s="56">
        <f t="shared" si="0"/>
        <v>960</v>
      </c>
      <c r="O26" s="56">
        <f t="shared" si="7"/>
        <v>0</v>
      </c>
    </row>
    <row r="27" spans="1:15" s="9" customFormat="1" ht="15.6" customHeight="1" thickBot="1" x14ac:dyDescent="0.35">
      <c r="A27" s="57" t="s">
        <v>24</v>
      </c>
      <c r="B27" s="58"/>
      <c r="C27" s="59"/>
      <c r="D27" s="60"/>
      <c r="E27" s="61">
        <f t="shared" ref="E27:M27" si="8">SUBTOTAL(9,E6:E25)</f>
        <v>105255</v>
      </c>
      <c r="F27" s="61">
        <f t="shared" si="8"/>
        <v>26008.04</v>
      </c>
      <c r="G27" s="61">
        <f t="shared" si="8"/>
        <v>21520</v>
      </c>
      <c r="H27" s="61">
        <f t="shared" si="8"/>
        <v>109743.03999999999</v>
      </c>
      <c r="I27" s="62">
        <f t="shared" si="8"/>
        <v>13375.333333333334</v>
      </c>
      <c r="J27" s="63">
        <f t="shared" si="8"/>
        <v>15521.409722222221</v>
      </c>
      <c r="K27" s="63">
        <f t="shared" si="8"/>
        <v>1240</v>
      </c>
      <c r="L27" s="63">
        <f t="shared" si="8"/>
        <v>-12459.305555555555</v>
      </c>
      <c r="M27" s="63">
        <f t="shared" si="8"/>
        <v>17677.4375</v>
      </c>
      <c r="N27" s="64">
        <f t="shared" si="0"/>
        <v>92065.602499999994</v>
      </c>
      <c r="O27" s="65">
        <f>SUBTOTAL(9,O6:O25)</f>
        <v>42.013888888888886</v>
      </c>
    </row>
    <row r="28" spans="1:15" ht="15.6" customHeight="1" outlineLevel="1" x14ac:dyDescent="0.3">
      <c r="B28" s="66"/>
      <c r="J28" s="8"/>
      <c r="M28" s="8"/>
    </row>
    <row r="29" spans="1:15" ht="15.6" customHeight="1" outlineLevel="1" x14ac:dyDescent="0.3">
      <c r="J29" s="8"/>
      <c r="M29" s="8"/>
    </row>
    <row r="30" spans="1:15" ht="15.6" customHeight="1" outlineLevel="1" x14ac:dyDescent="0.3">
      <c r="B30" s="223" t="s">
        <v>69</v>
      </c>
      <c r="C30" s="224"/>
      <c r="D30" s="224"/>
      <c r="E30" s="225"/>
    </row>
    <row r="31" spans="1:15" ht="15.6" customHeight="1" outlineLevel="1" x14ac:dyDescent="0.3">
      <c r="B31" s="70" t="s">
        <v>34</v>
      </c>
      <c r="C31" s="24"/>
      <c r="D31" s="67"/>
      <c r="E31" s="10">
        <v>707</v>
      </c>
    </row>
    <row r="32" spans="1:15" ht="15.6" customHeight="1" outlineLevel="1" x14ac:dyDescent="0.3">
      <c r="B32" s="70" t="s">
        <v>33</v>
      </c>
      <c r="C32" s="24"/>
      <c r="D32" s="68"/>
      <c r="E32" s="7">
        <v>1032</v>
      </c>
    </row>
    <row r="33" spans="1:15" ht="15.6" customHeight="1" outlineLevel="2" x14ac:dyDescent="0.3">
      <c r="B33" s="70" t="s">
        <v>32</v>
      </c>
      <c r="C33" s="24"/>
      <c r="D33" s="68"/>
      <c r="E33" s="7">
        <v>810</v>
      </c>
    </row>
    <row r="34" spans="1:15" ht="15.6" customHeight="1" outlineLevel="1" x14ac:dyDescent="0.3">
      <c r="A34" s="9"/>
      <c r="B34" s="70" t="s">
        <v>72</v>
      </c>
      <c r="C34" s="24"/>
      <c r="D34" s="68"/>
      <c r="E34" s="7">
        <v>1200</v>
      </c>
      <c r="I34" s="4">
        <f t="shared" ref="I34:O34" si="9">SUBTOTAL(9,I33:I33)</f>
        <v>0</v>
      </c>
      <c r="J34" s="3">
        <f t="shared" si="9"/>
        <v>0</v>
      </c>
      <c r="K34" s="3">
        <f t="shared" si="9"/>
        <v>0</v>
      </c>
      <c r="L34" s="3">
        <f t="shared" si="9"/>
        <v>0</v>
      </c>
      <c r="M34" s="3">
        <f t="shared" si="9"/>
        <v>0</v>
      </c>
      <c r="N34" s="3">
        <f t="shared" si="9"/>
        <v>0</v>
      </c>
      <c r="O34" s="3">
        <f t="shared" si="9"/>
        <v>0</v>
      </c>
    </row>
    <row r="35" spans="1:15" ht="15.6" customHeight="1" x14ac:dyDescent="0.3">
      <c r="B35" s="226" t="s">
        <v>71</v>
      </c>
      <c r="C35" s="227"/>
      <c r="D35" s="228"/>
      <c r="E35" s="7">
        <v>509.04</v>
      </c>
    </row>
    <row r="36" spans="1:15" ht="15.6" customHeight="1" x14ac:dyDescent="0.3">
      <c r="A36" s="5"/>
      <c r="B36" s="69"/>
      <c r="D36" s="4"/>
      <c r="E36" s="7">
        <f>SUM(E31:E35)</f>
        <v>4258.04</v>
      </c>
    </row>
  </sheetData>
  <mergeCells count="8">
    <mergeCell ref="C2:H2"/>
    <mergeCell ref="B30:E30"/>
    <mergeCell ref="B35:D35"/>
    <mergeCell ref="N4:N5"/>
    <mergeCell ref="O4:O5"/>
    <mergeCell ref="I4:M4"/>
    <mergeCell ref="E4:H4"/>
    <mergeCell ref="A4:D4"/>
  </mergeCells>
  <pageMargins left="0.19" right="0.17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23"/>
  <sheetViews>
    <sheetView workbookViewId="0">
      <selection activeCell="A3" sqref="A3:L3"/>
    </sheetView>
  </sheetViews>
  <sheetFormatPr baseColWidth="10" defaultColWidth="11" defaultRowHeight="15" x14ac:dyDescent="0.25"/>
  <cols>
    <col min="1" max="2" width="9.09765625" style="1" customWidth="1"/>
    <col min="3" max="5" width="10" style="1" customWidth="1"/>
    <col min="6" max="6" width="10.69921875" style="1" customWidth="1"/>
    <col min="7" max="7" width="10" style="1" customWidth="1"/>
    <col min="8" max="8" width="10.69921875" style="1" customWidth="1"/>
    <col min="9" max="12" width="10" style="1" customWidth="1"/>
    <col min="13" max="13" width="11.8984375" style="183" customWidth="1"/>
    <col min="14" max="16384" width="11" style="1"/>
  </cols>
  <sheetData>
    <row r="1" spans="1:14" x14ac:dyDescent="0.25">
      <c r="A1" s="1" t="s">
        <v>11</v>
      </c>
    </row>
    <row r="3" spans="1:14" ht="21" x14ac:dyDescent="0.4">
      <c r="A3" s="252" t="s">
        <v>326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</row>
    <row r="4" spans="1:14" ht="15.6" thickBot="1" x14ac:dyDescent="0.3"/>
    <row r="5" spans="1:14" ht="16.2" thickBot="1" x14ac:dyDescent="0.35">
      <c r="E5" s="242" t="s">
        <v>50</v>
      </c>
      <c r="F5" s="243"/>
      <c r="G5" s="243"/>
      <c r="H5" s="244"/>
      <c r="I5" s="242" t="s">
        <v>51</v>
      </c>
      <c r="J5" s="243"/>
      <c r="K5" s="243"/>
      <c r="L5" s="244"/>
      <c r="M5" s="245" t="s">
        <v>52</v>
      </c>
    </row>
    <row r="6" spans="1:14" s="20" customFormat="1" ht="26.4" x14ac:dyDescent="0.25">
      <c r="A6" s="178" t="s">
        <v>54</v>
      </c>
      <c r="B6" s="179" t="s">
        <v>55</v>
      </c>
      <c r="C6" s="179" t="s">
        <v>53</v>
      </c>
      <c r="D6" s="180" t="s">
        <v>47</v>
      </c>
      <c r="E6" s="176">
        <v>43100</v>
      </c>
      <c r="F6" s="26" t="s">
        <v>48</v>
      </c>
      <c r="G6" s="26" t="s">
        <v>49</v>
      </c>
      <c r="H6" s="27">
        <v>43465</v>
      </c>
      <c r="I6" s="25">
        <v>43100</v>
      </c>
      <c r="J6" s="26" t="s">
        <v>48</v>
      </c>
      <c r="K6" s="26" t="s">
        <v>49</v>
      </c>
      <c r="L6" s="27">
        <v>43465</v>
      </c>
      <c r="M6" s="246"/>
    </row>
    <row r="7" spans="1:14" s="20" customFormat="1" ht="23.25" customHeight="1" x14ac:dyDescent="0.25">
      <c r="A7" s="169" t="s">
        <v>44</v>
      </c>
      <c r="B7" s="170" t="s">
        <v>45</v>
      </c>
      <c r="C7" s="12">
        <v>696</v>
      </c>
      <c r="D7" s="181">
        <v>42887</v>
      </c>
      <c r="E7" s="168">
        <v>696</v>
      </c>
      <c r="F7" s="12"/>
      <c r="G7" s="12">
        <v>696</v>
      </c>
      <c r="H7" s="14">
        <f t="shared" ref="H7:H12" si="0">+E7+F7-G7</f>
        <v>0</v>
      </c>
      <c r="I7" s="13">
        <v>580</v>
      </c>
      <c r="J7" s="12"/>
      <c r="K7" s="12">
        <v>580</v>
      </c>
      <c r="L7" s="14">
        <f>+I7+J7-K7</f>
        <v>0</v>
      </c>
      <c r="M7" s="184"/>
      <c r="N7" s="171"/>
    </row>
    <row r="8" spans="1:14" s="20" customFormat="1" ht="23.25" customHeight="1" x14ac:dyDescent="0.25">
      <c r="A8" s="169" t="s">
        <v>35</v>
      </c>
      <c r="B8" s="170" t="s">
        <v>40</v>
      </c>
      <c r="C8" s="12">
        <v>3720</v>
      </c>
      <c r="D8" s="181">
        <v>42965</v>
      </c>
      <c r="E8" s="168">
        <v>3720</v>
      </c>
      <c r="F8" s="12"/>
      <c r="G8" s="12">
        <v>2000</v>
      </c>
      <c r="H8" s="14">
        <f t="shared" si="0"/>
        <v>1720</v>
      </c>
      <c r="I8" s="13">
        <v>1550</v>
      </c>
      <c r="J8" s="12"/>
      <c r="K8" s="12">
        <f>2000/1.2*0.5</f>
        <v>833.33333333333337</v>
      </c>
      <c r="L8" s="14">
        <f>+I8+J8-K8</f>
        <v>716.66666666666663</v>
      </c>
      <c r="M8" s="185">
        <v>0.5</v>
      </c>
      <c r="N8" s="171"/>
    </row>
    <row r="9" spans="1:14" s="20" customFormat="1" ht="23.25" customHeight="1" x14ac:dyDescent="0.25">
      <c r="A9" s="169" t="s">
        <v>36</v>
      </c>
      <c r="B9" s="170" t="s">
        <v>41</v>
      </c>
      <c r="C9" s="12">
        <v>1812</v>
      </c>
      <c r="D9" s="181">
        <v>43132</v>
      </c>
      <c r="E9" s="168"/>
      <c r="F9" s="12">
        <v>1812</v>
      </c>
      <c r="G9" s="12"/>
      <c r="H9" s="14">
        <f t="shared" si="0"/>
        <v>1812</v>
      </c>
      <c r="I9" s="15"/>
      <c r="J9" s="12">
        <f>H9*M9/1.2</f>
        <v>906.00000000000011</v>
      </c>
      <c r="K9" s="12"/>
      <c r="L9" s="14">
        <f t="shared" ref="L9:L12" si="1">+I9+J9-K9</f>
        <v>906.00000000000011</v>
      </c>
      <c r="M9" s="185">
        <v>0.6</v>
      </c>
      <c r="N9" s="171"/>
    </row>
    <row r="10" spans="1:14" s="20" customFormat="1" ht="23.25" customHeight="1" x14ac:dyDescent="0.25">
      <c r="A10" s="169" t="s">
        <v>38</v>
      </c>
      <c r="B10" s="170" t="s">
        <v>42</v>
      </c>
      <c r="C10" s="12">
        <v>4260</v>
      </c>
      <c r="D10" s="181">
        <v>43296</v>
      </c>
      <c r="E10" s="168"/>
      <c r="F10" s="12">
        <v>4260</v>
      </c>
      <c r="G10" s="12"/>
      <c r="H10" s="14">
        <f t="shared" si="0"/>
        <v>4260</v>
      </c>
      <c r="I10" s="13"/>
      <c r="J10" s="12">
        <f>H10*M10/1.2</f>
        <v>2130</v>
      </c>
      <c r="K10" s="12"/>
      <c r="L10" s="14">
        <f t="shared" si="1"/>
        <v>2130</v>
      </c>
      <c r="M10" s="185">
        <v>0.6</v>
      </c>
      <c r="N10" s="171"/>
    </row>
    <row r="11" spans="1:14" s="20" customFormat="1" ht="23.25" customHeight="1" x14ac:dyDescent="0.25">
      <c r="A11" s="169" t="s">
        <v>39</v>
      </c>
      <c r="B11" s="170" t="s">
        <v>46</v>
      </c>
      <c r="C11" s="12">
        <v>2856</v>
      </c>
      <c r="D11" s="181">
        <v>43299</v>
      </c>
      <c r="E11" s="168"/>
      <c r="F11" s="12">
        <v>2856</v>
      </c>
      <c r="G11" s="12"/>
      <c r="H11" s="14">
        <f t="shared" si="0"/>
        <v>2856</v>
      </c>
      <c r="I11" s="13"/>
      <c r="J11" s="12">
        <f>H11*M11/1.2</f>
        <v>1428</v>
      </c>
      <c r="K11" s="12"/>
      <c r="L11" s="14">
        <f t="shared" si="1"/>
        <v>1428</v>
      </c>
      <c r="M11" s="185">
        <v>0.6</v>
      </c>
      <c r="N11" s="171"/>
    </row>
    <row r="12" spans="1:14" s="20" customFormat="1" ht="23.25" customHeight="1" thickBot="1" x14ac:dyDescent="0.3">
      <c r="A12" s="172" t="s">
        <v>37</v>
      </c>
      <c r="B12" s="173" t="s">
        <v>43</v>
      </c>
      <c r="C12" s="16">
        <v>2136</v>
      </c>
      <c r="D12" s="182">
        <v>43373</v>
      </c>
      <c r="E12" s="177"/>
      <c r="F12" s="16">
        <v>2136</v>
      </c>
      <c r="G12" s="16"/>
      <c r="H12" s="175">
        <f t="shared" si="0"/>
        <v>2136</v>
      </c>
      <c r="I12" s="17"/>
      <c r="J12" s="18">
        <f>H12*M12/1.2</f>
        <v>534</v>
      </c>
      <c r="K12" s="18"/>
      <c r="L12" s="19">
        <f t="shared" si="1"/>
        <v>534</v>
      </c>
      <c r="M12" s="185">
        <v>0.3</v>
      </c>
      <c r="N12" s="171"/>
    </row>
    <row r="13" spans="1:14" s="20" customFormat="1" ht="23.25" customHeight="1" thickBot="1" x14ac:dyDescent="0.3">
      <c r="E13" s="21">
        <f t="shared" ref="E13:L13" si="2">SUM(E7:E12)</f>
        <v>4416</v>
      </c>
      <c r="F13" s="22">
        <f t="shared" si="2"/>
        <v>11064</v>
      </c>
      <c r="G13" s="22">
        <f t="shared" si="2"/>
        <v>2696</v>
      </c>
      <c r="H13" s="174">
        <f t="shared" si="2"/>
        <v>12784</v>
      </c>
      <c r="I13" s="21">
        <f t="shared" si="2"/>
        <v>2130</v>
      </c>
      <c r="J13" s="22">
        <f t="shared" si="2"/>
        <v>4998</v>
      </c>
      <c r="K13" s="22">
        <f t="shared" si="2"/>
        <v>1413.3333333333335</v>
      </c>
      <c r="L13" s="23">
        <f t="shared" si="2"/>
        <v>5714.666666666667</v>
      </c>
      <c r="M13" s="183"/>
    </row>
    <row r="16" spans="1:14" x14ac:dyDescent="0.25">
      <c r="H16" s="11"/>
    </row>
    <row r="17" spans="5:9" x14ac:dyDescent="0.25">
      <c r="I17" s="11"/>
    </row>
    <row r="18" spans="5:9" x14ac:dyDescent="0.25">
      <c r="E18" s="167"/>
    </row>
    <row r="19" spans="5:9" x14ac:dyDescent="0.25">
      <c r="E19" s="167"/>
    </row>
    <row r="20" spans="5:9" x14ac:dyDescent="0.25">
      <c r="E20" s="167"/>
    </row>
    <row r="21" spans="5:9" x14ac:dyDescent="0.25">
      <c r="E21" s="167"/>
    </row>
    <row r="22" spans="5:9" x14ac:dyDescent="0.25">
      <c r="E22" s="167"/>
    </row>
    <row r="23" spans="5:9" x14ac:dyDescent="0.25">
      <c r="E23" s="167"/>
    </row>
  </sheetData>
  <mergeCells count="4">
    <mergeCell ref="E5:H5"/>
    <mergeCell ref="I5:L5"/>
    <mergeCell ref="M5:M6"/>
    <mergeCell ref="A3:L3"/>
  </mergeCells>
  <printOptions horizontalCentered="1" verticalCentered="1"/>
  <pageMargins left="0.25" right="0.17" top="0.74803149606299213" bottom="0.74803149606299213" header="0.31496062992125984" footer="0.31496062992125984"/>
  <pageSetup paperSize="9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workbookViewId="0">
      <selection activeCell="B26" sqref="B26:D26"/>
    </sheetView>
  </sheetViews>
  <sheetFormatPr baseColWidth="10" defaultColWidth="11.19921875" defaultRowHeight="15.6" x14ac:dyDescent="0.3"/>
  <cols>
    <col min="1" max="1" width="8.09765625" style="1" customWidth="1"/>
    <col min="2" max="2" width="24.8984375" style="1" customWidth="1"/>
    <col min="3" max="3" width="14.69921875" style="1" customWidth="1"/>
    <col min="4" max="4" width="15.59765625" style="1" customWidth="1"/>
    <col min="5" max="5" width="8.59765625" style="1" customWidth="1"/>
    <col min="6" max="7" width="12.5" style="1" customWidth="1"/>
    <col min="8" max="8" width="12.3984375" style="1" customWidth="1"/>
    <col min="9" max="9" width="13" style="1" customWidth="1"/>
    <col min="10" max="10" width="12.8984375" style="1" bestFit="1" customWidth="1"/>
    <col min="16" max="16384" width="11.19921875" style="1"/>
  </cols>
  <sheetData>
    <row r="1" spans="2:10" x14ac:dyDescent="0.3">
      <c r="B1" s="255" t="s">
        <v>94</v>
      </c>
      <c r="C1" s="255"/>
      <c r="D1" s="255"/>
    </row>
    <row r="2" spans="2:10" x14ac:dyDescent="0.3">
      <c r="B2" s="196"/>
      <c r="C2" s="218" t="s">
        <v>146</v>
      </c>
      <c r="D2" s="218" t="s">
        <v>147</v>
      </c>
      <c r="G2"/>
    </row>
    <row r="3" spans="2:10" x14ac:dyDescent="0.3">
      <c r="B3" s="204" t="s">
        <v>91</v>
      </c>
      <c r="C3" s="210">
        <v>34083.969999999899</v>
      </c>
      <c r="D3" s="210">
        <f>35241.95+6654</f>
        <v>41895.949999999997</v>
      </c>
    </row>
    <row r="4" spans="2:10" x14ac:dyDescent="0.3">
      <c r="B4" s="204" t="s">
        <v>90</v>
      </c>
      <c r="C4" s="217">
        <f>+C5+C6</f>
        <v>5113</v>
      </c>
      <c r="D4" s="217">
        <f>+D5+D6</f>
        <v>6775</v>
      </c>
    </row>
    <row r="5" spans="2:10" x14ac:dyDescent="0.3">
      <c r="B5" s="82" t="s">
        <v>93</v>
      </c>
      <c r="C5" s="81">
        <f>ROUND(IF(C3&lt;38120,C3*15%,38120*15%),0)</f>
        <v>5113</v>
      </c>
      <c r="D5" s="81">
        <f>ROUND(IF(D3&lt;38120,D3*15%,38120*15%),0)</f>
        <v>5718</v>
      </c>
    </row>
    <row r="6" spans="2:10" x14ac:dyDescent="0.3">
      <c r="B6" s="82" t="s">
        <v>129</v>
      </c>
      <c r="C6" s="81">
        <f>ROUND(IF(C3&lt;38120,0,(C3-38120)/3),0)</f>
        <v>0</v>
      </c>
      <c r="D6" s="81">
        <f>ROUND(IF(D3&lt;38120,0,(D3-38120)*28%),0)</f>
        <v>1057</v>
      </c>
    </row>
    <row r="7" spans="2:10" x14ac:dyDescent="0.3">
      <c r="B7" s="204" t="s">
        <v>92</v>
      </c>
      <c r="C7" s="210">
        <f>+C3-C4</f>
        <v>28970.969999999899</v>
      </c>
      <c r="D7" s="210">
        <f>+D3-D4</f>
        <v>35120.949999999997</v>
      </c>
    </row>
    <row r="11" spans="2:10" x14ac:dyDescent="0.3">
      <c r="G11" s="83"/>
      <c r="H11" s="72"/>
    </row>
    <row r="13" spans="2:10" ht="15.75" customHeight="1" x14ac:dyDescent="0.3"/>
    <row r="14" spans="2:10" x14ac:dyDescent="0.3">
      <c r="B14" s="255" t="s">
        <v>263</v>
      </c>
      <c r="C14" s="255"/>
      <c r="D14" s="255"/>
      <c r="E14" s="216"/>
      <c r="F14" s="216"/>
      <c r="G14" s="216"/>
      <c r="H14" s="216"/>
      <c r="I14" s="216"/>
    </row>
    <row r="15" spans="2:10" s="35" customFormat="1" ht="30" x14ac:dyDescent="0.25">
      <c r="D15" s="6" t="s">
        <v>99</v>
      </c>
      <c r="E15" s="6" t="s">
        <v>100</v>
      </c>
      <c r="F15" s="6" t="s">
        <v>130</v>
      </c>
      <c r="G15" s="6" t="s">
        <v>131</v>
      </c>
      <c r="H15" s="6" t="s">
        <v>132</v>
      </c>
      <c r="I15" s="6" t="s">
        <v>133</v>
      </c>
      <c r="J15" s="1"/>
    </row>
    <row r="16" spans="2:10" x14ac:dyDescent="0.3">
      <c r="B16" s="104" t="s">
        <v>128</v>
      </c>
      <c r="C16" s="105">
        <v>43100</v>
      </c>
      <c r="D16" s="106"/>
      <c r="E16" s="107"/>
      <c r="F16" s="104"/>
      <c r="G16" s="187">
        <f>+C4</f>
        <v>5113</v>
      </c>
      <c r="H16" s="104"/>
      <c r="I16" s="188">
        <f>G16-F16</f>
        <v>5113</v>
      </c>
    </row>
    <row r="17" spans="2:10" x14ac:dyDescent="0.3">
      <c r="B17" s="108" t="s">
        <v>95</v>
      </c>
      <c r="C17" s="109">
        <v>43174</v>
      </c>
      <c r="D17" s="110">
        <f>+C4</f>
        <v>5113</v>
      </c>
      <c r="E17" s="111">
        <v>0.25</v>
      </c>
      <c r="F17" s="112">
        <f>ROUND(+D17*E17,0)</f>
        <v>1278</v>
      </c>
      <c r="G17" s="2"/>
      <c r="H17" s="121">
        <f t="shared" ref="H17:H22" si="0">IF((H16-I16+F17-G17)&gt;0,H16-I16+F17-G17,0)</f>
        <v>0</v>
      </c>
      <c r="I17" s="121">
        <f t="shared" ref="I17:I22" si="1">IF((I16-H16+G17-F17)&gt;0,I16-H16+G17-F17,0)</f>
        <v>3835</v>
      </c>
    </row>
    <row r="18" spans="2:10" x14ac:dyDescent="0.3">
      <c r="B18" s="104" t="s">
        <v>148</v>
      </c>
      <c r="C18" s="105">
        <v>43235</v>
      </c>
      <c r="D18" s="106"/>
      <c r="E18" s="107"/>
      <c r="F18" s="187">
        <f>G16</f>
        <v>5113</v>
      </c>
      <c r="G18" s="104"/>
      <c r="H18" s="188">
        <f t="shared" si="0"/>
        <v>1278</v>
      </c>
      <c r="I18" s="188">
        <f t="shared" si="1"/>
        <v>0</v>
      </c>
      <c r="J18" s="186" t="s">
        <v>265</v>
      </c>
    </row>
    <row r="19" spans="2:10" x14ac:dyDescent="0.3">
      <c r="B19" s="113" t="s">
        <v>96</v>
      </c>
      <c r="C19" s="114" t="s">
        <v>256</v>
      </c>
      <c r="D19" s="115">
        <f>+D17</f>
        <v>5113</v>
      </c>
      <c r="E19" s="111">
        <v>0.25</v>
      </c>
      <c r="F19" s="112">
        <f>ROUND(+D19*E19,0)</f>
        <v>1278</v>
      </c>
      <c r="G19" s="2"/>
      <c r="H19" s="121">
        <f t="shared" si="0"/>
        <v>2556</v>
      </c>
      <c r="I19" s="121">
        <f t="shared" si="1"/>
        <v>0</v>
      </c>
    </row>
    <row r="20" spans="2:10" x14ac:dyDescent="0.3">
      <c r="B20" s="108" t="s">
        <v>97</v>
      </c>
      <c r="C20" s="109">
        <v>43358</v>
      </c>
      <c r="D20" s="110">
        <f>+D17</f>
        <v>5113</v>
      </c>
      <c r="E20" s="111">
        <v>0.25</v>
      </c>
      <c r="F20" s="112">
        <f>ROUND(+D20*E20,0)</f>
        <v>1278</v>
      </c>
      <c r="G20" s="2"/>
      <c r="H20" s="121">
        <f t="shared" si="0"/>
        <v>3834</v>
      </c>
      <c r="I20" s="121">
        <f t="shared" si="1"/>
        <v>0</v>
      </c>
      <c r="J20" s="11"/>
    </row>
    <row r="21" spans="2:10" x14ac:dyDescent="0.3">
      <c r="B21" s="108" t="s">
        <v>97</v>
      </c>
      <c r="C21" s="109">
        <v>43449</v>
      </c>
      <c r="D21" s="110">
        <f>+D19</f>
        <v>5113</v>
      </c>
      <c r="E21" s="111">
        <v>0.25</v>
      </c>
      <c r="F21" s="112">
        <f>ROUND(+D21*E21,0)</f>
        <v>1278</v>
      </c>
      <c r="G21" s="2"/>
      <c r="H21" s="121">
        <f t="shared" si="0"/>
        <v>5112</v>
      </c>
      <c r="I21" s="121">
        <f t="shared" si="1"/>
        <v>0</v>
      </c>
      <c r="J21" s="11"/>
    </row>
    <row r="22" spans="2:10" x14ac:dyDescent="0.3">
      <c r="B22" s="116" t="s">
        <v>266</v>
      </c>
      <c r="C22" s="117">
        <v>43465</v>
      </c>
      <c r="D22" s="118"/>
      <c r="E22" s="119"/>
      <c r="F22" s="120"/>
      <c r="G22" s="120">
        <f>+D4</f>
        <v>6775</v>
      </c>
      <c r="H22" s="121">
        <f t="shared" si="0"/>
        <v>0</v>
      </c>
      <c r="I22" s="121">
        <f t="shared" si="1"/>
        <v>1663</v>
      </c>
    </row>
    <row r="23" spans="2:10" x14ac:dyDescent="0.3">
      <c r="I23" s="11"/>
    </row>
    <row r="24" spans="2:10" ht="12.75" customHeight="1" x14ac:dyDescent="0.3"/>
    <row r="26" spans="2:10" x14ac:dyDescent="0.3">
      <c r="B26" s="255" t="s">
        <v>264</v>
      </c>
      <c r="C26" s="255"/>
      <c r="D26" s="255"/>
      <c r="E26" s="216"/>
      <c r="F26" s="216"/>
    </row>
    <row r="27" spans="2:10" x14ac:dyDescent="0.3">
      <c r="D27" s="95" t="s">
        <v>99</v>
      </c>
      <c r="E27" s="95" t="s">
        <v>100</v>
      </c>
      <c r="F27" s="95" t="s">
        <v>101</v>
      </c>
      <c r="I27" s="166"/>
    </row>
    <row r="28" spans="2:10" x14ac:dyDescent="0.3">
      <c r="B28" s="84" t="s">
        <v>95</v>
      </c>
      <c r="C28" s="98">
        <v>43539</v>
      </c>
      <c r="D28" s="85">
        <f>+D21</f>
        <v>5113</v>
      </c>
      <c r="E28" s="86">
        <v>0.25</v>
      </c>
      <c r="F28" s="96">
        <f>ROUND(+D28*E28,0)</f>
        <v>1278</v>
      </c>
    </row>
    <row r="29" spans="2:10" x14ac:dyDescent="0.3">
      <c r="B29" s="87" t="s">
        <v>96</v>
      </c>
      <c r="C29" s="99">
        <v>43631</v>
      </c>
      <c r="D29" s="88"/>
      <c r="E29" s="89"/>
      <c r="F29" s="97">
        <f>+F31+F30</f>
        <v>2110</v>
      </c>
    </row>
    <row r="30" spans="2:10" x14ac:dyDescent="0.3">
      <c r="B30" s="82" t="s">
        <v>102</v>
      </c>
      <c r="C30" s="102"/>
      <c r="D30" s="90">
        <f>+D4</f>
        <v>6775</v>
      </c>
      <c r="E30" s="91">
        <v>0.25</v>
      </c>
      <c r="F30" s="100">
        <f>ROUND(+D30*E30,0)</f>
        <v>1694</v>
      </c>
    </row>
    <row r="31" spans="2:10" x14ac:dyDescent="0.3">
      <c r="B31" s="92" t="s">
        <v>103</v>
      </c>
      <c r="C31" s="103"/>
      <c r="D31" s="93"/>
      <c r="E31" s="94"/>
      <c r="F31" s="101">
        <f>+F30-F28</f>
        <v>416</v>
      </c>
      <c r="G31" s="1" t="s">
        <v>262</v>
      </c>
    </row>
    <row r="32" spans="2:10" x14ac:dyDescent="0.3">
      <c r="B32" s="84" t="s">
        <v>97</v>
      </c>
      <c r="C32" s="98">
        <v>43266</v>
      </c>
      <c r="D32" s="85">
        <f>+D30</f>
        <v>6775</v>
      </c>
      <c r="E32" s="86">
        <f>+E30</f>
        <v>0.25</v>
      </c>
      <c r="F32" s="96">
        <f>ROUND(+D32*E32,0)</f>
        <v>1694</v>
      </c>
    </row>
    <row r="33" spans="2:6" x14ac:dyDescent="0.3">
      <c r="B33" s="84" t="s">
        <v>98</v>
      </c>
      <c r="C33" s="98">
        <v>43449</v>
      </c>
      <c r="D33" s="85">
        <f>+D32</f>
        <v>6775</v>
      </c>
      <c r="E33" s="86">
        <f>+E32</f>
        <v>0.25</v>
      </c>
      <c r="F33" s="96">
        <f>ROUND(+D33*E33,0)</f>
        <v>1694</v>
      </c>
    </row>
    <row r="34" spans="2:6" x14ac:dyDescent="0.3">
      <c r="B34" s="247" t="s">
        <v>267</v>
      </c>
      <c r="C34" s="248"/>
      <c r="D34" s="248"/>
      <c r="E34" s="249"/>
      <c r="F34" s="189">
        <f>+F28+F29+F32+F33</f>
        <v>6776</v>
      </c>
    </row>
  </sheetData>
  <mergeCells count="4">
    <mergeCell ref="B1:D1"/>
    <mergeCell ref="B14:D14"/>
    <mergeCell ref="B26:D26"/>
    <mergeCell ref="B34:E3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F45"/>
  <sheetViews>
    <sheetView topLeftCell="A7" workbookViewId="0">
      <selection activeCell="A26" sqref="A26:F26"/>
    </sheetView>
  </sheetViews>
  <sheetFormatPr baseColWidth="10" defaultColWidth="17.5" defaultRowHeight="15" x14ac:dyDescent="0.25"/>
  <cols>
    <col min="1" max="1" width="30.8984375" style="1" customWidth="1"/>
    <col min="2" max="2" width="20.09765625" style="1" customWidth="1"/>
    <col min="3" max="4" width="17.5" style="1"/>
    <col min="5" max="5" width="17.5" style="220"/>
    <col min="6" max="6" width="20.09765625" style="1" customWidth="1"/>
    <col min="7" max="16384" width="17.5" style="1"/>
  </cols>
  <sheetData>
    <row r="3" spans="1:6" ht="15.6" x14ac:dyDescent="0.3">
      <c r="A3" s="255" t="s">
        <v>284</v>
      </c>
      <c r="B3" s="255"/>
      <c r="C3" s="255"/>
      <c r="D3" s="255"/>
      <c r="E3" s="255"/>
      <c r="F3" s="255"/>
    </row>
    <row r="5" spans="1:6" ht="15.6" x14ac:dyDescent="0.3">
      <c r="A5" s="256" t="s">
        <v>324</v>
      </c>
      <c r="B5" s="257" t="s">
        <v>276</v>
      </c>
      <c r="C5" s="257"/>
      <c r="D5" s="76" t="s">
        <v>268</v>
      </c>
      <c r="E5" s="44" t="s">
        <v>269</v>
      </c>
      <c r="F5" s="76" t="s">
        <v>283</v>
      </c>
    </row>
    <row r="6" spans="1:6" x14ac:dyDescent="0.25">
      <c r="A6" s="2" t="s">
        <v>270</v>
      </c>
      <c r="B6" s="191" t="s">
        <v>275</v>
      </c>
      <c r="C6" s="191" t="s">
        <v>271</v>
      </c>
      <c r="D6" s="190" t="s">
        <v>272</v>
      </c>
      <c r="E6" s="7">
        <v>109743.03999999999</v>
      </c>
      <c r="F6" s="193" t="s">
        <v>287</v>
      </c>
    </row>
    <row r="7" spans="1:6" x14ac:dyDescent="0.25">
      <c r="A7" s="194" t="s">
        <v>277</v>
      </c>
      <c r="B7" s="191" t="s">
        <v>275</v>
      </c>
      <c r="C7" s="191" t="s">
        <v>271</v>
      </c>
      <c r="D7" s="191" t="s">
        <v>286</v>
      </c>
      <c r="E7" s="219">
        <v>17677.439999999999</v>
      </c>
      <c r="F7" s="193" t="s">
        <v>287</v>
      </c>
    </row>
    <row r="8" spans="1:6" x14ac:dyDescent="0.25">
      <c r="A8" s="194" t="s">
        <v>285</v>
      </c>
      <c r="B8" s="191" t="s">
        <v>275</v>
      </c>
      <c r="C8" s="191" t="s">
        <v>271</v>
      </c>
      <c r="D8" s="191"/>
      <c r="E8" s="219">
        <v>92065.600000000006</v>
      </c>
      <c r="F8" s="193" t="s">
        <v>287</v>
      </c>
    </row>
    <row r="9" spans="1:6" x14ac:dyDescent="0.25">
      <c r="A9" s="2" t="s">
        <v>273</v>
      </c>
      <c r="B9" s="191" t="s">
        <v>275</v>
      </c>
      <c r="C9" s="191" t="s">
        <v>274</v>
      </c>
      <c r="D9" s="190" t="s">
        <v>303</v>
      </c>
      <c r="E9" s="7">
        <v>15521.42</v>
      </c>
      <c r="F9" s="222" t="s">
        <v>323</v>
      </c>
    </row>
    <row r="10" spans="1:6" x14ac:dyDescent="0.25">
      <c r="A10" s="221" t="s">
        <v>304</v>
      </c>
      <c r="B10" s="191" t="s">
        <v>306</v>
      </c>
      <c r="C10" s="191" t="s">
        <v>271</v>
      </c>
      <c r="D10" s="190" t="s">
        <v>308</v>
      </c>
      <c r="E10" s="7">
        <v>38478.160000000003</v>
      </c>
      <c r="F10" s="193" t="s">
        <v>307</v>
      </c>
    </row>
    <row r="11" spans="1:6" x14ac:dyDescent="0.25">
      <c r="A11" s="221" t="s">
        <v>305</v>
      </c>
      <c r="B11" s="191" t="s">
        <v>306</v>
      </c>
      <c r="C11" s="191" t="s">
        <v>271</v>
      </c>
      <c r="D11" s="191" t="s">
        <v>309</v>
      </c>
      <c r="E11" s="219">
        <v>1247</v>
      </c>
      <c r="F11" s="193" t="s">
        <v>307</v>
      </c>
    </row>
    <row r="12" spans="1:6" x14ac:dyDescent="0.25">
      <c r="B12" s="192"/>
      <c r="C12" s="192"/>
      <c r="D12" s="3"/>
      <c r="E12" s="4"/>
      <c r="F12" s="3"/>
    </row>
    <row r="13" spans="1:6" ht="15.6" x14ac:dyDescent="0.3">
      <c r="A13" s="256" t="s">
        <v>278</v>
      </c>
      <c r="B13" s="257" t="s">
        <v>276</v>
      </c>
      <c r="C13" s="257"/>
      <c r="D13" s="76" t="s">
        <v>268</v>
      </c>
      <c r="E13" s="44" t="s">
        <v>269</v>
      </c>
      <c r="F13" s="76" t="s">
        <v>283</v>
      </c>
    </row>
    <row r="14" spans="1:6" x14ac:dyDescent="0.25">
      <c r="A14" s="2" t="s">
        <v>279</v>
      </c>
      <c r="B14" s="191" t="s">
        <v>280</v>
      </c>
      <c r="C14" s="191" t="s">
        <v>274</v>
      </c>
      <c r="D14" s="190">
        <v>416</v>
      </c>
      <c r="E14" s="219">
        <v>12784</v>
      </c>
      <c r="F14" s="193" t="s">
        <v>287</v>
      </c>
    </row>
    <row r="15" spans="1:6" x14ac:dyDescent="0.25">
      <c r="A15" s="2" t="s">
        <v>310</v>
      </c>
      <c r="B15" s="191" t="s">
        <v>280</v>
      </c>
      <c r="C15" s="191" t="s">
        <v>271</v>
      </c>
      <c r="D15" s="190" t="s">
        <v>311</v>
      </c>
      <c r="E15" s="219">
        <v>5714.67</v>
      </c>
      <c r="F15" s="193" t="s">
        <v>287</v>
      </c>
    </row>
    <row r="16" spans="1:6" x14ac:dyDescent="0.25">
      <c r="A16" s="2" t="s">
        <v>312</v>
      </c>
      <c r="B16" s="191" t="s">
        <v>280</v>
      </c>
      <c r="C16" s="191" t="s">
        <v>274</v>
      </c>
      <c r="D16" s="190">
        <v>68174</v>
      </c>
      <c r="E16" s="219">
        <v>4998</v>
      </c>
      <c r="F16" s="193" t="s">
        <v>287</v>
      </c>
    </row>
    <row r="17" spans="1:6" x14ac:dyDescent="0.25">
      <c r="B17" s="192"/>
      <c r="C17" s="192"/>
      <c r="D17" s="192"/>
    </row>
    <row r="18" spans="1:6" ht="15.6" x14ac:dyDescent="0.3">
      <c r="A18" s="256" t="s">
        <v>325</v>
      </c>
      <c r="B18" s="257" t="s">
        <v>276</v>
      </c>
      <c r="C18" s="257"/>
      <c r="D18" s="76" t="s">
        <v>268</v>
      </c>
      <c r="E18" s="44" t="s">
        <v>269</v>
      </c>
      <c r="F18" s="76" t="s">
        <v>283</v>
      </c>
    </row>
    <row r="19" spans="1:6" x14ac:dyDescent="0.25">
      <c r="A19" s="2" t="s">
        <v>282</v>
      </c>
      <c r="B19" s="191" t="s">
        <v>274</v>
      </c>
      <c r="C19" s="191" t="s">
        <v>271</v>
      </c>
      <c r="D19" s="191" t="s">
        <v>313</v>
      </c>
      <c r="E19" s="80">
        <v>35120.949999999997</v>
      </c>
      <c r="F19" s="193" t="s">
        <v>287</v>
      </c>
    </row>
    <row r="20" spans="1:6" x14ac:dyDescent="0.25">
      <c r="A20" s="2" t="s">
        <v>319</v>
      </c>
      <c r="B20" s="191" t="s">
        <v>321</v>
      </c>
      <c r="C20" s="191" t="s">
        <v>271</v>
      </c>
      <c r="D20" s="191" t="s">
        <v>322</v>
      </c>
      <c r="E20" s="80">
        <v>35120.949999999997</v>
      </c>
      <c r="F20" s="193" t="s">
        <v>287</v>
      </c>
    </row>
    <row r="21" spans="1:6" x14ac:dyDescent="0.25">
      <c r="A21" s="2" t="s">
        <v>316</v>
      </c>
      <c r="B21" s="191" t="s">
        <v>317</v>
      </c>
      <c r="C21" s="191" t="s">
        <v>271</v>
      </c>
      <c r="D21" s="191" t="s">
        <v>318</v>
      </c>
      <c r="E21" s="80">
        <v>35341.360000000001</v>
      </c>
      <c r="F21" s="193" t="s">
        <v>287</v>
      </c>
    </row>
    <row r="22" spans="1:6" x14ac:dyDescent="0.25">
      <c r="A22" s="2" t="s">
        <v>314</v>
      </c>
      <c r="B22" s="191" t="s">
        <v>274</v>
      </c>
      <c r="C22" s="191"/>
      <c r="D22" s="191">
        <v>471</v>
      </c>
      <c r="E22" s="219">
        <v>0</v>
      </c>
      <c r="F22" s="221" t="s">
        <v>315</v>
      </c>
    </row>
    <row r="23" spans="1:6" x14ac:dyDescent="0.25">
      <c r="A23" s="2" t="s">
        <v>281</v>
      </c>
      <c r="B23" s="191" t="s">
        <v>271</v>
      </c>
      <c r="C23" s="191" t="s">
        <v>271</v>
      </c>
      <c r="D23" s="191" t="s">
        <v>320</v>
      </c>
      <c r="E23" s="219">
        <v>182522.91</v>
      </c>
      <c r="F23" s="193" t="s">
        <v>287</v>
      </c>
    </row>
    <row r="26" spans="1:6" ht="15.6" x14ac:dyDescent="0.3">
      <c r="A26" s="255" t="s">
        <v>284</v>
      </c>
      <c r="B26" s="255"/>
      <c r="C26" s="255"/>
      <c r="D26" s="255"/>
      <c r="E26" s="255"/>
      <c r="F26" s="255"/>
    </row>
    <row r="27" spans="1:6" ht="15.6" x14ac:dyDescent="0.3">
      <c r="A27" s="256" t="s">
        <v>324</v>
      </c>
      <c r="B27" s="257" t="s">
        <v>276</v>
      </c>
      <c r="C27" s="257"/>
      <c r="D27" s="76" t="s">
        <v>268</v>
      </c>
      <c r="E27" s="44" t="s">
        <v>269</v>
      </c>
      <c r="F27" s="76" t="s">
        <v>283</v>
      </c>
    </row>
    <row r="28" spans="1:6" x14ac:dyDescent="0.25">
      <c r="A28" s="2" t="s">
        <v>270</v>
      </c>
      <c r="B28" s="191" t="s">
        <v>275</v>
      </c>
      <c r="C28" s="191" t="s">
        <v>271</v>
      </c>
      <c r="D28" s="190" t="s">
        <v>272</v>
      </c>
      <c r="E28" s="7">
        <v>109743.03999999999</v>
      </c>
      <c r="F28" s="193" t="s">
        <v>287</v>
      </c>
    </row>
    <row r="29" spans="1:6" x14ac:dyDescent="0.25">
      <c r="A29" s="194" t="s">
        <v>277</v>
      </c>
      <c r="B29" s="191"/>
      <c r="C29" s="191"/>
      <c r="D29" s="191"/>
      <c r="E29" s="219"/>
      <c r="F29" s="193"/>
    </row>
    <row r="30" spans="1:6" x14ac:dyDescent="0.25">
      <c r="A30" s="194" t="s">
        <v>285</v>
      </c>
      <c r="B30" s="191"/>
      <c r="C30" s="191"/>
      <c r="D30" s="191"/>
      <c r="E30" s="219"/>
      <c r="F30" s="193"/>
    </row>
    <row r="31" spans="1:6" x14ac:dyDescent="0.25">
      <c r="A31" s="2" t="s">
        <v>273</v>
      </c>
      <c r="B31" s="191" t="s">
        <v>275</v>
      </c>
      <c r="C31" s="191" t="s">
        <v>274</v>
      </c>
      <c r="D31" s="190"/>
      <c r="E31" s="7"/>
      <c r="F31" s="222"/>
    </row>
    <row r="32" spans="1:6" x14ac:dyDescent="0.25">
      <c r="A32" s="221" t="s">
        <v>304</v>
      </c>
      <c r="B32" s="191"/>
      <c r="C32" s="191"/>
      <c r="D32" s="190"/>
      <c r="E32" s="7"/>
      <c r="F32" s="193"/>
    </row>
    <row r="33" spans="1:6" x14ac:dyDescent="0.25">
      <c r="A33" s="221" t="s">
        <v>305</v>
      </c>
      <c r="B33" s="191"/>
      <c r="C33" s="191"/>
      <c r="D33" s="191"/>
      <c r="E33" s="219"/>
      <c r="F33" s="193"/>
    </row>
    <row r="34" spans="1:6" x14ac:dyDescent="0.25">
      <c r="B34" s="192"/>
      <c r="C34" s="192"/>
      <c r="D34" s="3"/>
      <c r="E34" s="4"/>
      <c r="F34" s="3"/>
    </row>
    <row r="35" spans="1:6" ht="15.6" x14ac:dyDescent="0.3">
      <c r="A35" s="256" t="s">
        <v>278</v>
      </c>
      <c r="B35" s="257" t="s">
        <v>276</v>
      </c>
      <c r="C35" s="257"/>
      <c r="D35" s="76" t="s">
        <v>268</v>
      </c>
      <c r="E35" s="44" t="s">
        <v>269</v>
      </c>
      <c r="F35" s="76" t="s">
        <v>283</v>
      </c>
    </row>
    <row r="36" spans="1:6" x14ac:dyDescent="0.25">
      <c r="A36" s="2" t="s">
        <v>279</v>
      </c>
      <c r="B36" s="191"/>
      <c r="C36" s="191"/>
      <c r="D36" s="190"/>
      <c r="E36" s="219"/>
      <c r="F36" s="193"/>
    </row>
    <row r="37" spans="1:6" x14ac:dyDescent="0.25">
      <c r="A37" s="2" t="s">
        <v>310</v>
      </c>
      <c r="B37" s="191"/>
      <c r="C37" s="191"/>
      <c r="D37" s="190"/>
      <c r="E37" s="219"/>
      <c r="F37" s="193"/>
    </row>
    <row r="38" spans="1:6" x14ac:dyDescent="0.25">
      <c r="A38" s="2" t="s">
        <v>312</v>
      </c>
      <c r="B38" s="191"/>
      <c r="C38" s="191"/>
      <c r="D38" s="190"/>
      <c r="E38" s="219"/>
      <c r="F38" s="193"/>
    </row>
    <row r="39" spans="1:6" x14ac:dyDescent="0.25">
      <c r="B39" s="192"/>
      <c r="C39" s="192"/>
      <c r="D39" s="192"/>
    </row>
    <row r="40" spans="1:6" ht="15.6" x14ac:dyDescent="0.3">
      <c r="A40" s="256" t="s">
        <v>325</v>
      </c>
      <c r="B40" s="257" t="s">
        <v>276</v>
      </c>
      <c r="C40" s="257"/>
      <c r="D40" s="76" t="s">
        <v>268</v>
      </c>
      <c r="E40" s="44" t="s">
        <v>269</v>
      </c>
      <c r="F40" s="76" t="s">
        <v>283</v>
      </c>
    </row>
    <row r="41" spans="1:6" x14ac:dyDescent="0.25">
      <c r="A41" s="2" t="s">
        <v>282</v>
      </c>
      <c r="B41" s="191"/>
      <c r="C41" s="191"/>
      <c r="D41" s="191"/>
      <c r="E41" s="80"/>
      <c r="F41" s="193"/>
    </row>
    <row r="42" spans="1:6" x14ac:dyDescent="0.25">
      <c r="A42" s="2" t="s">
        <v>319</v>
      </c>
      <c r="B42" s="191"/>
      <c r="C42" s="191"/>
      <c r="D42" s="191"/>
      <c r="E42" s="80"/>
      <c r="F42" s="193"/>
    </row>
    <row r="43" spans="1:6" x14ac:dyDescent="0.25">
      <c r="A43" s="2" t="s">
        <v>316</v>
      </c>
      <c r="B43" s="191"/>
      <c r="C43" s="191"/>
      <c r="D43" s="191"/>
      <c r="E43" s="80"/>
      <c r="F43" s="193"/>
    </row>
    <row r="44" spans="1:6" x14ac:dyDescent="0.25">
      <c r="A44" s="2" t="s">
        <v>314</v>
      </c>
      <c r="B44" s="191"/>
      <c r="C44" s="191"/>
      <c r="D44" s="191"/>
      <c r="E44" s="219"/>
      <c r="F44" s="221"/>
    </row>
    <row r="45" spans="1:6" x14ac:dyDescent="0.25">
      <c r="A45" s="2" t="s">
        <v>281</v>
      </c>
      <c r="B45" s="191"/>
      <c r="C45" s="191"/>
      <c r="D45" s="191"/>
      <c r="E45" s="219"/>
      <c r="F45" s="193"/>
    </row>
  </sheetData>
  <mergeCells count="8">
    <mergeCell ref="A3:F3"/>
    <mergeCell ref="A26:F26"/>
    <mergeCell ref="B27:C27"/>
    <mergeCell ref="B35:C35"/>
    <mergeCell ref="B40:C40"/>
    <mergeCell ref="B5:C5"/>
    <mergeCell ref="B13:C13"/>
    <mergeCell ref="B18:C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I16" sqref="I16"/>
    </sheetView>
  </sheetViews>
  <sheetFormatPr baseColWidth="10" defaultColWidth="11" defaultRowHeight="13.8" x14ac:dyDescent="0.25"/>
  <cols>
    <col min="1" max="1" width="26.09765625" style="196" customWidth="1"/>
    <col min="2" max="2" width="12.8984375" style="196" bestFit="1" customWidth="1"/>
    <col min="3" max="3" width="11.3984375" style="196" bestFit="1" customWidth="1"/>
    <col min="4" max="4" width="12.8984375" style="196" bestFit="1" customWidth="1"/>
    <col min="5" max="5" width="11.19921875" style="196"/>
    <col min="6" max="6" width="8.59765625" style="197" customWidth="1"/>
    <col min="7" max="7" width="24.19921875" style="197" customWidth="1"/>
    <col min="8" max="9" width="11.59765625" style="197" bestFit="1" customWidth="1"/>
    <col min="10" max="16384" width="11" style="197"/>
  </cols>
  <sheetData>
    <row r="1" spans="1:9" ht="15" customHeight="1" x14ac:dyDescent="0.3">
      <c r="F1" s="255" t="s">
        <v>298</v>
      </c>
      <c r="G1" s="255"/>
      <c r="H1" s="255"/>
      <c r="I1" s="255"/>
    </row>
    <row r="2" spans="1:9" ht="15.6" x14ac:dyDescent="0.3">
      <c r="A2" s="255" t="s">
        <v>120</v>
      </c>
      <c r="B2" s="255"/>
      <c r="F2" s="213" t="s">
        <v>300</v>
      </c>
      <c r="G2" s="213" t="s">
        <v>301</v>
      </c>
      <c r="H2" s="213" t="s">
        <v>293</v>
      </c>
      <c r="I2" s="213" t="s">
        <v>294</v>
      </c>
    </row>
    <row r="3" spans="1:9" ht="15" x14ac:dyDescent="0.25">
      <c r="A3" s="196" t="s">
        <v>121</v>
      </c>
      <c r="B3" s="198">
        <f>+IS!D7</f>
        <v>35120.949999999997</v>
      </c>
      <c r="F3" s="204">
        <v>12</v>
      </c>
      <c r="G3" s="204" t="s">
        <v>299</v>
      </c>
      <c r="H3" s="210">
        <f>+B3</f>
        <v>35120.949999999997</v>
      </c>
      <c r="I3" s="210"/>
    </row>
    <row r="4" spans="1:9" ht="15" x14ac:dyDescent="0.25">
      <c r="A4" s="196" t="s">
        <v>77</v>
      </c>
      <c r="B4" s="198">
        <f>-B3*5%</f>
        <v>-1756.0474999999999</v>
      </c>
      <c r="F4" s="204">
        <v>1061</v>
      </c>
      <c r="G4" s="204"/>
      <c r="H4" s="210"/>
      <c r="I4" s="210">
        <f>-B4</f>
        <v>1756.0474999999999</v>
      </c>
    </row>
    <row r="5" spans="1:9" ht="15" x14ac:dyDescent="0.25">
      <c r="A5" s="199" t="s">
        <v>122</v>
      </c>
      <c r="B5" s="200">
        <f>+B3+B4</f>
        <v>33364.902499999997</v>
      </c>
      <c r="F5" s="204">
        <v>1068</v>
      </c>
      <c r="G5" s="204"/>
      <c r="H5" s="210"/>
      <c r="I5" s="210">
        <f>-B7</f>
        <v>10000</v>
      </c>
    </row>
    <row r="6" spans="1:9" ht="15" x14ac:dyDescent="0.25">
      <c r="A6" s="196" t="s">
        <v>124</v>
      </c>
      <c r="B6" s="198">
        <f>-6%*50*800</f>
        <v>-2400</v>
      </c>
      <c r="C6" s="201" t="s">
        <v>125</v>
      </c>
      <c r="F6" s="204">
        <v>4571</v>
      </c>
      <c r="G6" s="204" t="s">
        <v>295</v>
      </c>
      <c r="H6" s="210"/>
      <c r="I6" s="210">
        <f>+D20</f>
        <v>15950</v>
      </c>
    </row>
    <row r="7" spans="1:9" ht="15" x14ac:dyDescent="0.25">
      <c r="A7" s="196" t="s">
        <v>123</v>
      </c>
      <c r="B7" s="198">
        <v>-10000</v>
      </c>
      <c r="F7" s="204">
        <v>4572</v>
      </c>
      <c r="G7" s="204" t="s">
        <v>296</v>
      </c>
      <c r="H7" s="210"/>
      <c r="I7" s="210">
        <f t="shared" ref="I7:I8" si="0">+D21</f>
        <v>4350</v>
      </c>
    </row>
    <row r="8" spans="1:9" ht="15" x14ac:dyDescent="0.25">
      <c r="A8" s="199" t="s">
        <v>126</v>
      </c>
      <c r="B8" s="200">
        <f>SUM(B5:B7)</f>
        <v>20964.902499999997</v>
      </c>
      <c r="F8" s="204">
        <v>4573</v>
      </c>
      <c r="G8" s="204" t="s">
        <v>297</v>
      </c>
      <c r="H8" s="210"/>
      <c r="I8" s="210">
        <f t="shared" si="0"/>
        <v>2900</v>
      </c>
    </row>
    <row r="9" spans="1:9" ht="15" x14ac:dyDescent="0.25">
      <c r="A9" s="196" t="s">
        <v>127</v>
      </c>
      <c r="B9" s="198">
        <f>+C9*800</f>
        <v>20800</v>
      </c>
      <c r="C9" s="198">
        <f>ROUNDDOWN(B8/800,0)</f>
        <v>26</v>
      </c>
      <c r="D9" s="196" t="s">
        <v>257</v>
      </c>
      <c r="F9" s="204">
        <v>110</v>
      </c>
      <c r="G9" s="204"/>
      <c r="H9" s="210"/>
      <c r="I9" s="210">
        <f>+B10</f>
        <v>164.90249999999651</v>
      </c>
    </row>
    <row r="10" spans="1:9" ht="15" x14ac:dyDescent="0.25">
      <c r="A10" s="199" t="s">
        <v>76</v>
      </c>
      <c r="B10" s="200">
        <f>+B8-B9</f>
        <v>164.90249999999651</v>
      </c>
      <c r="F10" s="196"/>
      <c r="G10" s="214" t="s">
        <v>302</v>
      </c>
      <c r="H10" s="215">
        <f>SUM(H3:H9)</f>
        <v>35120.949999999997</v>
      </c>
      <c r="I10" s="215">
        <f>SUM(I3:I9)</f>
        <v>35120.949999999997</v>
      </c>
    </row>
    <row r="11" spans="1:9" x14ac:dyDescent="0.25">
      <c r="A11" s="198"/>
      <c r="B11" s="198"/>
    </row>
    <row r="12" spans="1:9" ht="15" customHeight="1" x14ac:dyDescent="0.3">
      <c r="A12" s="255" t="s">
        <v>292</v>
      </c>
      <c r="B12" s="255"/>
      <c r="C12" s="202" t="s">
        <v>258</v>
      </c>
      <c r="D12" s="203" t="s">
        <v>0</v>
      </c>
      <c r="E12" s="203" t="s">
        <v>101</v>
      </c>
    </row>
    <row r="13" spans="1:9" x14ac:dyDescent="0.25">
      <c r="A13" s="251" t="s">
        <v>259</v>
      </c>
      <c r="B13" s="251"/>
      <c r="C13" s="204">
        <v>800</v>
      </c>
      <c r="D13" s="205">
        <f>+E13/C13</f>
        <v>3</v>
      </c>
      <c r="E13" s="206">
        <f>-B6</f>
        <v>2400</v>
      </c>
    </row>
    <row r="14" spans="1:9" ht="15" x14ac:dyDescent="0.25">
      <c r="A14" s="251" t="s">
        <v>260</v>
      </c>
      <c r="B14" s="251"/>
      <c r="C14" s="207">
        <f>+C13</f>
        <v>800</v>
      </c>
      <c r="D14" s="205">
        <f>+E14/C14</f>
        <v>26</v>
      </c>
      <c r="E14" s="206">
        <f>+B9</f>
        <v>20800</v>
      </c>
    </row>
    <row r="15" spans="1:9" ht="15" x14ac:dyDescent="0.25">
      <c r="A15" s="250" t="s">
        <v>261</v>
      </c>
      <c r="B15" s="250"/>
      <c r="C15" s="208">
        <f>+C14</f>
        <v>800</v>
      </c>
      <c r="D15" s="211">
        <f>+E15/C15</f>
        <v>29</v>
      </c>
      <c r="E15" s="209">
        <f>SUM(E13:E14)</f>
        <v>23200</v>
      </c>
    </row>
    <row r="17" spans="1:4" x14ac:dyDescent="0.25">
      <c r="B17" s="198"/>
    </row>
    <row r="18" spans="1:4" ht="15.6" x14ac:dyDescent="0.3">
      <c r="A18" s="255" t="s">
        <v>291</v>
      </c>
      <c r="B18" s="255"/>
      <c r="C18" s="255"/>
      <c r="D18" s="255"/>
    </row>
    <row r="19" spans="1:4" x14ac:dyDescent="0.25">
      <c r="B19" s="198" t="s">
        <v>288</v>
      </c>
      <c r="C19" s="196" t="s">
        <v>289</v>
      </c>
      <c r="D19" s="196" t="s">
        <v>290</v>
      </c>
    </row>
    <row r="20" spans="1:4" ht="15" x14ac:dyDescent="0.25">
      <c r="A20" s="212" t="s">
        <v>295</v>
      </c>
      <c r="B20" s="195">
        <v>550</v>
      </c>
      <c r="C20" s="210">
        <f>+D15</f>
        <v>29</v>
      </c>
      <c r="D20" s="210">
        <f>+B20*C20</f>
        <v>15950</v>
      </c>
    </row>
    <row r="21" spans="1:4" ht="15" x14ac:dyDescent="0.25">
      <c r="A21" s="212" t="s">
        <v>296</v>
      </c>
      <c r="B21" s="195">
        <v>150</v>
      </c>
      <c r="C21" s="210">
        <f>+C20</f>
        <v>29</v>
      </c>
      <c r="D21" s="210">
        <f t="shared" ref="D21:D22" si="1">+B21*C21</f>
        <v>4350</v>
      </c>
    </row>
    <row r="22" spans="1:4" ht="15" x14ac:dyDescent="0.25">
      <c r="A22" s="212" t="s">
        <v>297</v>
      </c>
      <c r="B22" s="195">
        <v>100</v>
      </c>
      <c r="C22" s="210">
        <f>+C21</f>
        <v>29</v>
      </c>
      <c r="D22" s="210">
        <f t="shared" si="1"/>
        <v>2900</v>
      </c>
    </row>
    <row r="23" spans="1:4" ht="15" x14ac:dyDescent="0.25">
      <c r="A23" s="204"/>
      <c r="B23" s="206"/>
      <c r="C23" s="210"/>
      <c r="D23" s="210">
        <f>SUM(D20:D22)</f>
        <v>23200</v>
      </c>
    </row>
    <row r="24" spans="1:4" ht="15" x14ac:dyDescent="0.25">
      <c r="B24" s="198"/>
    </row>
  </sheetData>
  <mergeCells count="7">
    <mergeCell ref="F1:I1"/>
    <mergeCell ref="A18:D18"/>
    <mergeCell ref="A2:B2"/>
    <mergeCell ref="A15:B15"/>
    <mergeCell ref="A14:B14"/>
    <mergeCell ref="A13:B13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Corrigé ecritures inventaire</vt:lpstr>
      <vt:lpstr>Corrigé Immobilisations</vt:lpstr>
      <vt:lpstr>Créances douteuses (prof)</vt:lpstr>
      <vt:lpstr>IS</vt:lpstr>
      <vt:lpstr>Contrôle Bilan-cpte Rt-</vt:lpstr>
      <vt:lpstr>Affectation du résultat</vt:lpstr>
      <vt:lpstr>'Créances douteuses (prof)'!Zone_d_impression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MINIER</dc:creator>
  <cp:lastModifiedBy>MINIER</cp:lastModifiedBy>
  <cp:lastPrinted>2017-10-18T12:39:40Z</cp:lastPrinted>
  <dcterms:created xsi:type="dcterms:W3CDTF">1997-12-16T21:59:41Z</dcterms:created>
  <dcterms:modified xsi:type="dcterms:W3CDTF">2018-08-22T17:32:50Z</dcterms:modified>
</cp:coreProperties>
</file>